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ocuments\PLAN - GRAD\2026\"/>
    </mc:Choice>
  </mc:AlternateContent>
  <bookViews>
    <workbookView xWindow="0" yWindow="0" windowWidth="23040" windowHeight="9195" tabRatio="851"/>
  </bookViews>
  <sheets>
    <sheet name="SAŽETAK" sheetId="3" r:id="rId1"/>
    <sheet name="RAČUN PRIHODA I RASHODA" sheetId="2" r:id="rId2"/>
    <sheet name="PRIHODI I RASHODI PO IZVORIMA" sheetId="4" r:id="rId3"/>
    <sheet name="RASHODI PREMA FUNKCIJSKOJ KLAS." sheetId="5" r:id="rId4"/>
    <sheet name="POSEBNI DIO - PROJEKTI" sheetId="1" r:id="rId5"/>
    <sheet name="RAČUN FINANCIRANJA" sheetId="6" r:id="rId6"/>
    <sheet name="RAČUN FINANC. PREMA IZVORIMA" sheetId="7" r:id="rId7"/>
  </sheets>
  <externalReferences>
    <externalReference r:id="rId8"/>
  </externalReferences>
  <calcPr calcId="162913"/>
</workbook>
</file>

<file path=xl/calcChain.xml><?xml version="1.0" encoding="utf-8"?>
<calcChain xmlns="http://schemas.openxmlformats.org/spreadsheetml/2006/main">
  <c r="O13" i="5" l="1"/>
  <c r="M13" i="5"/>
  <c r="L13" i="5"/>
  <c r="N13" i="5"/>
  <c r="K13" i="5"/>
  <c r="J13" i="5"/>
  <c r="E76" i="4"/>
  <c r="F76" i="4"/>
  <c r="E6" i="4"/>
  <c r="F6" i="4"/>
  <c r="D6" i="4"/>
  <c r="E20" i="4"/>
  <c r="F20" i="4"/>
  <c r="D20" i="4"/>
  <c r="D19" i="4" s="1"/>
  <c r="E53" i="2"/>
  <c r="F53" i="2"/>
  <c r="D76" i="2"/>
  <c r="E76" i="2"/>
  <c r="F76" i="2"/>
  <c r="D77" i="2"/>
  <c r="D53" i="2" l="1"/>
  <c r="E19" i="2"/>
  <c r="F19" i="2"/>
  <c r="D19" i="2"/>
  <c r="C161" i="1" l="1"/>
  <c r="C162" i="1"/>
  <c r="D155" i="1"/>
  <c r="C155" i="1"/>
  <c r="B155" i="1"/>
  <c r="C89" i="1" l="1"/>
  <c r="C120" i="1"/>
  <c r="C99" i="1"/>
  <c r="C80" i="1" l="1"/>
  <c r="C7" i="1"/>
  <c r="C41" i="4"/>
  <c r="C71" i="4"/>
  <c r="C25" i="4"/>
  <c r="C76" i="2" l="1"/>
  <c r="C69" i="2"/>
  <c r="C70" i="2"/>
  <c r="C49" i="2"/>
  <c r="C79" i="2"/>
  <c r="C67" i="2"/>
  <c r="C45" i="2"/>
  <c r="C59" i="2"/>
  <c r="C56" i="2"/>
  <c r="C55" i="2"/>
  <c r="C54" i="2"/>
  <c r="C53" i="2"/>
  <c r="C48" i="2"/>
  <c r="C47" i="2"/>
  <c r="C46" i="2"/>
  <c r="C41" i="2"/>
  <c r="C35" i="2"/>
  <c r="C32" i="2"/>
  <c r="C20" i="2"/>
  <c r="I43" i="3" l="1"/>
  <c r="G43" i="3"/>
  <c r="M11" i="3" l="1"/>
  <c r="K11" i="3"/>
  <c r="M14" i="3"/>
  <c r="E41" i="2"/>
  <c r="E40" i="2" s="1"/>
  <c r="F41" i="2"/>
  <c r="F40" i="2" s="1"/>
  <c r="E42" i="2"/>
  <c r="F42" i="2"/>
  <c r="E43" i="2"/>
  <c r="F43" i="2"/>
  <c r="E44" i="2"/>
  <c r="F44" i="2"/>
  <c r="E46" i="2"/>
  <c r="F46" i="2"/>
  <c r="E47" i="2"/>
  <c r="F47" i="2"/>
  <c r="E48" i="2"/>
  <c r="F48" i="2"/>
  <c r="E49" i="2"/>
  <c r="F49" i="2"/>
  <c r="E52" i="2"/>
  <c r="E51" i="2" s="1"/>
  <c r="E39" i="2" s="1"/>
  <c r="E30" i="2" s="1"/>
  <c r="F52" i="2"/>
  <c r="F51" i="2" s="1"/>
  <c r="F39" i="2" s="1"/>
  <c r="F30" i="2" s="1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5" i="2"/>
  <c r="F65" i="2"/>
  <c r="E33" i="2"/>
  <c r="E32" i="2" s="1"/>
  <c r="F33" i="2"/>
  <c r="F32" i="2" s="1"/>
  <c r="E36" i="2"/>
  <c r="E35" i="2" s="1"/>
  <c r="F36" i="2"/>
  <c r="F35" i="2" s="1"/>
  <c r="E38" i="2"/>
  <c r="E37" i="2" s="1"/>
  <c r="F38" i="2"/>
  <c r="F37" i="2" s="1"/>
  <c r="D46" i="2"/>
  <c r="D41" i="2"/>
  <c r="D60" i="2"/>
  <c r="D51" i="2"/>
  <c r="D45" i="2"/>
  <c r="D40" i="2"/>
  <c r="D31" i="2"/>
  <c r="D47" i="2"/>
  <c r="E81" i="2"/>
  <c r="F81" i="2"/>
  <c r="F77" i="2"/>
  <c r="O14" i="3" s="1"/>
  <c r="E78" i="2"/>
  <c r="E77" i="2" s="1"/>
  <c r="F78" i="2"/>
  <c r="D78" i="2"/>
  <c r="K14" i="3" s="1"/>
  <c r="D81" i="2"/>
  <c r="D59" i="2"/>
  <c r="D49" i="2"/>
  <c r="D48" i="2"/>
  <c r="D42" i="2"/>
  <c r="D38" i="2"/>
  <c r="D33" i="2"/>
  <c r="E74" i="2"/>
  <c r="F74" i="2"/>
  <c r="D74" i="2"/>
  <c r="D57" i="2"/>
  <c r="E67" i="2"/>
  <c r="F67" i="2"/>
  <c r="D67" i="2"/>
  <c r="D65" i="2"/>
  <c r="D58" i="2"/>
  <c r="D56" i="2"/>
  <c r="D55" i="2"/>
  <c r="D54" i="2"/>
  <c r="D52" i="2"/>
  <c r="D43" i="2"/>
  <c r="D44" i="2"/>
  <c r="D37" i="2"/>
  <c r="D32" i="2"/>
  <c r="D35" i="2"/>
  <c r="D36" i="2"/>
  <c r="D26" i="2"/>
  <c r="E26" i="2"/>
  <c r="F26" i="2"/>
  <c r="E10" i="2"/>
  <c r="E9" i="2" s="1"/>
  <c r="F10" i="2"/>
  <c r="F9" i="2" s="1"/>
  <c r="E15" i="2"/>
  <c r="F15" i="2"/>
  <c r="E18" i="2"/>
  <c r="F18" i="2"/>
  <c r="E23" i="2"/>
  <c r="E22" i="2" s="1"/>
  <c r="F23" i="2"/>
  <c r="F22" i="2" s="1"/>
  <c r="D22" i="2"/>
  <c r="D23" i="2"/>
  <c r="D18" i="2"/>
  <c r="D16" i="2"/>
  <c r="D15" i="2"/>
  <c r="D6" i="2"/>
  <c r="D10" i="2"/>
  <c r="E30" i="4"/>
  <c r="F30" i="4"/>
  <c r="D57" i="4"/>
  <c r="D76" i="4"/>
  <c r="D71" i="4" s="1"/>
  <c r="E67" i="4"/>
  <c r="F67" i="4"/>
  <c r="D67" i="4"/>
  <c r="E25" i="4"/>
  <c r="F25" i="4"/>
  <c r="D25" i="4"/>
  <c r="D39" i="2" l="1"/>
  <c r="D30" i="2" s="1"/>
  <c r="D5" i="2"/>
  <c r="C149" i="1"/>
  <c r="C148" i="1" s="1"/>
  <c r="D149" i="1"/>
  <c r="D148" i="1" s="1"/>
  <c r="B149" i="1"/>
  <c r="B148" i="1" s="1"/>
  <c r="E137" i="1"/>
  <c r="F137" i="1"/>
  <c r="D137" i="1"/>
  <c r="F148" i="1"/>
  <c r="E149" i="1"/>
  <c r="E148" i="1" s="1"/>
  <c r="F149" i="1"/>
  <c r="D133" i="1" l="1"/>
  <c r="E99" i="1"/>
  <c r="F99" i="1"/>
  <c r="D99" i="1"/>
  <c r="E80" i="1"/>
  <c r="F80" i="1"/>
  <c r="E7" i="1" l="1"/>
  <c r="F7" i="1"/>
  <c r="D7" i="1"/>
  <c r="E71" i="4" l="1"/>
  <c r="F71" i="4"/>
  <c r="D65" i="4"/>
  <c r="E65" i="4"/>
  <c r="F65" i="4"/>
  <c r="C65" i="4"/>
  <c r="D59" i="4"/>
  <c r="E59" i="4"/>
  <c r="F59" i="4"/>
  <c r="C59" i="4"/>
  <c r="E57" i="4"/>
  <c r="F57" i="4"/>
  <c r="C57" i="4"/>
  <c r="D49" i="4"/>
  <c r="E49" i="4"/>
  <c r="F49" i="4"/>
  <c r="C49" i="4"/>
  <c r="D30" i="4"/>
  <c r="C30" i="4"/>
  <c r="D23" i="4"/>
  <c r="E23" i="4"/>
  <c r="F23" i="4"/>
  <c r="D21" i="4"/>
  <c r="E21" i="4"/>
  <c r="F21" i="4"/>
  <c r="E19" i="4"/>
  <c r="F19" i="4"/>
  <c r="D17" i="4"/>
  <c r="E17" i="4"/>
  <c r="F17" i="4"/>
  <c r="D15" i="4"/>
  <c r="E15" i="4"/>
  <c r="F15" i="4"/>
  <c r="D7" i="4"/>
  <c r="E7" i="4"/>
  <c r="F7" i="4"/>
  <c r="C23" i="4"/>
  <c r="C21" i="4"/>
  <c r="C19" i="4"/>
  <c r="C17" i="4"/>
  <c r="C15" i="4"/>
  <c r="C7" i="4"/>
  <c r="C78" i="2"/>
  <c r="C77" i="2" s="1"/>
  <c r="I14" i="3" s="1"/>
  <c r="C81" i="2"/>
  <c r="D73" i="2"/>
  <c r="E73" i="2"/>
  <c r="F73" i="2"/>
  <c r="C73" i="2"/>
  <c r="C74" i="2"/>
  <c r="D70" i="2"/>
  <c r="D69" i="2" s="1"/>
  <c r="E70" i="2"/>
  <c r="E69" i="2" s="1"/>
  <c r="F70" i="2"/>
  <c r="F69" i="2" s="1"/>
  <c r="D66" i="2"/>
  <c r="E66" i="2"/>
  <c r="F66" i="2"/>
  <c r="C66" i="2"/>
  <c r="C60" i="2"/>
  <c r="C51" i="2"/>
  <c r="C40" i="2"/>
  <c r="N11" i="3"/>
  <c r="F31" i="2"/>
  <c r="E31" i="2"/>
  <c r="M13" i="3" s="1"/>
  <c r="M12" i="3" s="1"/>
  <c r="C37" i="2"/>
  <c r="C27" i="2"/>
  <c r="C26" i="2" s="1"/>
  <c r="I11" i="3" s="1"/>
  <c r="C23" i="2"/>
  <c r="C22" i="2" s="1"/>
  <c r="C19" i="2"/>
  <c r="C18" i="2" s="1"/>
  <c r="C16" i="2"/>
  <c r="C15" i="2" s="1"/>
  <c r="D13" i="2"/>
  <c r="D12" i="2" s="1"/>
  <c r="E13" i="2"/>
  <c r="E12" i="2" s="1"/>
  <c r="F13" i="2"/>
  <c r="F12" i="2" s="1"/>
  <c r="C13" i="2"/>
  <c r="C12" i="2" s="1"/>
  <c r="D9" i="2"/>
  <c r="E6" i="2"/>
  <c r="E5" i="2" s="1"/>
  <c r="M10" i="3" s="1"/>
  <c r="F6" i="2"/>
  <c r="F5" i="2" s="1"/>
  <c r="C9" i="2"/>
  <c r="C6" i="2" s="1"/>
  <c r="J11" i="3"/>
  <c r="L11" i="3"/>
  <c r="O10" i="3"/>
  <c r="K10" i="3"/>
  <c r="H14" i="3"/>
  <c r="J14" i="3"/>
  <c r="L14" i="3"/>
  <c r="L10" i="3"/>
  <c r="N14" i="3"/>
  <c r="N13" i="3"/>
  <c r="H11" i="3"/>
  <c r="O11" i="3"/>
  <c r="N10" i="3"/>
  <c r="G14" i="3"/>
  <c r="G11" i="3"/>
  <c r="G13" i="3"/>
  <c r="C6" i="4" l="1"/>
  <c r="C29" i="4"/>
  <c r="I13" i="5" s="1"/>
  <c r="I12" i="5" s="1"/>
  <c r="I11" i="5" s="1"/>
  <c r="C39" i="2"/>
  <c r="C31" i="2"/>
  <c r="J10" i="3"/>
  <c r="L9" i="3"/>
  <c r="C5" i="2"/>
  <c r="N12" i="3"/>
  <c r="J9" i="3"/>
  <c r="E29" i="4"/>
  <c r="D29" i="4"/>
  <c r="F29" i="4"/>
  <c r="J13" i="3"/>
  <c r="J12" i="3" s="1"/>
  <c r="K13" i="3"/>
  <c r="K12" i="3" s="1"/>
  <c r="L13" i="3"/>
  <c r="L12" i="3" s="1"/>
  <c r="O13" i="3"/>
  <c r="O12" i="3" s="1"/>
  <c r="N9" i="3"/>
  <c r="M9" i="3"/>
  <c r="O9" i="3"/>
  <c r="K9" i="3"/>
  <c r="A1" i="2"/>
  <c r="A1" i="4"/>
  <c r="A1" i="1"/>
  <c r="A1" i="5"/>
  <c r="A1" i="6"/>
  <c r="J12" i="5"/>
  <c r="J11" i="5" s="1"/>
  <c r="H13" i="5"/>
  <c r="F13" i="5"/>
  <c r="O12" i="5"/>
  <c r="O11" i="5" s="1"/>
  <c r="N12" i="5"/>
  <c r="N11" i="5" s="1"/>
  <c r="M12" i="5"/>
  <c r="M11" i="5" s="1"/>
  <c r="L12" i="5"/>
  <c r="L11" i="5" s="1"/>
  <c r="K12" i="5"/>
  <c r="K11" i="5" s="1"/>
  <c r="H12" i="5"/>
  <c r="G12" i="5"/>
  <c r="G11" i="5" s="1"/>
  <c r="F12" i="5"/>
  <c r="F11" i="5" s="1"/>
  <c r="H11" i="5"/>
  <c r="H43" i="3"/>
  <c r="N41" i="3"/>
  <c r="L41" i="3"/>
  <c r="J41" i="3"/>
  <c r="O31" i="3"/>
  <c r="N31" i="3"/>
  <c r="M31" i="3"/>
  <c r="L31" i="3"/>
  <c r="K31" i="3"/>
  <c r="J31" i="3"/>
  <c r="F14" i="3"/>
  <c r="F13" i="3"/>
  <c r="G12" i="3"/>
  <c r="F11" i="3"/>
  <c r="F10" i="3"/>
  <c r="C30" i="2" l="1"/>
  <c r="I13" i="3" s="1"/>
  <c r="I12" i="3" s="1"/>
  <c r="F12" i="3"/>
  <c r="L15" i="3"/>
  <c r="M15" i="3"/>
  <c r="F9" i="3"/>
  <c r="N15" i="3"/>
  <c r="J15" i="3"/>
  <c r="O15" i="3"/>
  <c r="K15" i="3"/>
  <c r="I10" i="3"/>
  <c r="I9" i="3" s="1"/>
  <c r="H10" i="3"/>
  <c r="H9" i="3" s="1"/>
  <c r="F15" i="3" l="1"/>
  <c r="I15" i="3"/>
  <c r="H13" i="3"/>
  <c r="H12" i="3" s="1"/>
  <c r="H15" i="3" s="1"/>
  <c r="B19" i="4"/>
  <c r="B17" i="4"/>
  <c r="B15" i="4"/>
  <c r="B9" i="4"/>
  <c r="B7" i="4"/>
  <c r="B19" i="2"/>
  <c r="B6" i="4" l="1"/>
  <c r="B18" i="2"/>
  <c r="C170" i="1"/>
  <c r="C169" i="1" s="1"/>
  <c r="D170" i="1"/>
  <c r="D169" i="1" s="1"/>
  <c r="E170" i="1"/>
  <c r="E169" i="1" s="1"/>
  <c r="F170" i="1"/>
  <c r="F169" i="1" s="1"/>
  <c r="B170" i="1"/>
  <c r="B169" i="1" s="1"/>
  <c r="C167" i="1"/>
  <c r="D167" i="1"/>
  <c r="D161" i="1" s="1"/>
  <c r="E167" i="1"/>
  <c r="E161" i="1" s="1"/>
  <c r="F167" i="1"/>
  <c r="F161" i="1" s="1"/>
  <c r="B167" i="1"/>
  <c r="B161" i="1" s="1"/>
  <c r="C159" i="1"/>
  <c r="D159" i="1"/>
  <c r="E159" i="1"/>
  <c r="F159" i="1"/>
  <c r="B159" i="1"/>
  <c r="C157" i="1"/>
  <c r="C154" i="1" s="1"/>
  <c r="D157" i="1"/>
  <c r="E157" i="1"/>
  <c r="F157" i="1"/>
  <c r="B157" i="1"/>
  <c r="C152" i="1"/>
  <c r="C151" i="1" s="1"/>
  <c r="D152" i="1"/>
  <c r="D151" i="1" s="1"/>
  <c r="E152" i="1"/>
  <c r="F152" i="1"/>
  <c r="F151" i="1" s="1"/>
  <c r="B152" i="1"/>
  <c r="B151" i="1" s="1"/>
  <c r="E151" i="1"/>
  <c r="C145" i="1"/>
  <c r="D145" i="1"/>
  <c r="D136" i="1" s="1"/>
  <c r="E145" i="1"/>
  <c r="E136" i="1" s="1"/>
  <c r="F145" i="1"/>
  <c r="F136" i="1" s="1"/>
  <c r="B145" i="1"/>
  <c r="C137" i="1"/>
  <c r="B137" i="1"/>
  <c r="C133" i="1"/>
  <c r="C132" i="1" s="1"/>
  <c r="D132" i="1"/>
  <c r="E133" i="1"/>
  <c r="E132" i="1" s="1"/>
  <c r="F133" i="1"/>
  <c r="F132" i="1" s="1"/>
  <c r="B133" i="1"/>
  <c r="B132" i="1" s="1"/>
  <c r="C130" i="1"/>
  <c r="D130" i="1"/>
  <c r="E130" i="1"/>
  <c r="F130" i="1"/>
  <c r="B130" i="1"/>
  <c r="C128" i="1"/>
  <c r="D128" i="1"/>
  <c r="E128" i="1"/>
  <c r="F128" i="1"/>
  <c r="B128" i="1"/>
  <c r="B99" i="1"/>
  <c r="C97" i="1"/>
  <c r="D97" i="1"/>
  <c r="E97" i="1"/>
  <c r="F97" i="1"/>
  <c r="B97" i="1"/>
  <c r="C90" i="1"/>
  <c r="D90" i="1"/>
  <c r="E90" i="1"/>
  <c r="F90" i="1"/>
  <c r="B90" i="1"/>
  <c r="B89" i="1" s="1"/>
  <c r="C70" i="1"/>
  <c r="D70" i="1"/>
  <c r="E70" i="1"/>
  <c r="F70" i="1"/>
  <c r="B70" i="1"/>
  <c r="D80" i="1"/>
  <c r="B80" i="1"/>
  <c r="C63" i="1"/>
  <c r="D63" i="1"/>
  <c r="D62" i="1" s="1"/>
  <c r="E63" i="1"/>
  <c r="E62" i="1" s="1"/>
  <c r="F63" i="1"/>
  <c r="B63" i="1"/>
  <c r="C52" i="1"/>
  <c r="C51" i="1" s="1"/>
  <c r="D52" i="1"/>
  <c r="D51" i="1" s="1"/>
  <c r="E52" i="1"/>
  <c r="E51" i="1" s="1"/>
  <c r="F52" i="1"/>
  <c r="F51" i="1" s="1"/>
  <c r="B52" i="1"/>
  <c r="B51" i="1" s="1"/>
  <c r="B6" i="1"/>
  <c r="F6" i="1"/>
  <c r="E6" i="1"/>
  <c r="D6" i="1"/>
  <c r="C6" i="1"/>
  <c r="B62" i="1" l="1"/>
  <c r="C62" i="1"/>
  <c r="F62" i="1"/>
  <c r="D127" i="1"/>
  <c r="B136" i="1"/>
  <c r="B127" i="1"/>
  <c r="C127" i="1"/>
  <c r="C136" i="1"/>
  <c r="E154" i="1"/>
  <c r="D89" i="1"/>
  <c r="E127" i="1"/>
  <c r="F127" i="1"/>
  <c r="B154" i="1"/>
  <c r="D154" i="1"/>
  <c r="B5" i="2"/>
  <c r="G10" i="3" s="1"/>
  <c r="G9" i="3" s="1"/>
  <c r="G15" i="3" s="1"/>
  <c r="G31" i="3" s="1"/>
  <c r="F154" i="1"/>
  <c r="E89" i="1"/>
  <c r="F89" i="1"/>
  <c r="F5" i="1" l="1"/>
  <c r="D5" i="1"/>
  <c r="B5" i="1"/>
  <c r="E5" i="1"/>
  <c r="C5" i="1"/>
</calcChain>
</file>

<file path=xl/sharedStrings.xml><?xml version="1.0" encoding="utf-8"?>
<sst xmlns="http://schemas.openxmlformats.org/spreadsheetml/2006/main" count="495" uniqueCount="248">
  <si>
    <t>Oznaka</t>
  </si>
  <si>
    <t>Uprava: 0008 OŠ ANTUNA MASLE ORAŠAC</t>
  </si>
  <si>
    <t>18054001 MATERIJALNI I FINANCIJSKI RASHODI</t>
  </si>
  <si>
    <t>Izvor: 31 Potpore za decentralizirane izdatke</t>
  </si>
  <si>
    <t>32111 Dnevnice za službeni put u zemlji</t>
  </si>
  <si>
    <t>32113 Naknade za smještaj na službenom putu u zemlji</t>
  </si>
  <si>
    <t>32115 Naknade za prijevoz na službenom putu u zemlji</t>
  </si>
  <si>
    <t>32119 Ostali rashodi za službena putovanja</t>
  </si>
  <si>
    <t>32131 Seminari, savjetovanja i simpoziji</t>
  </si>
  <si>
    <t>32132 Tečajevi i stručni ispiti</t>
  </si>
  <si>
    <t>32141 Naknada za korištenje privatnog automobila u službene svrhe</t>
  </si>
  <si>
    <t>32211 Uredski materijal</t>
  </si>
  <si>
    <t>32212 Literatura (publikacije, časopisi, glasila, knjige i ostalo)</t>
  </si>
  <si>
    <t>32214 Materijal i sredstva za čišćenje i održavanje</t>
  </si>
  <si>
    <t>32216 Materijal za higijenske potrebe i njegu</t>
  </si>
  <si>
    <t>32219 Ostali materijal za potrebe redovnog poslovanja</t>
  </si>
  <si>
    <t>32226 Lijekovi</t>
  </si>
  <si>
    <t>32231 Električna energija</t>
  </si>
  <si>
    <t>32234 Motorni benzin i dizel gorivo</t>
  </si>
  <si>
    <t>32239 Ostali materijali za proizvodnju energije (ugljen, drva, teško ulje)</t>
  </si>
  <si>
    <t>32244 Ostali materijal i dijelovi za tekuće i investicijsko održavanje</t>
  </si>
  <si>
    <t>32271 Službena, radna i zaštitna odjeća i obuća</t>
  </si>
  <si>
    <t>32311 Usluge telefona, telefaksa</t>
  </si>
  <si>
    <t>32313 Poštarina (pisma, tiskanice i sl.)</t>
  </si>
  <si>
    <t>32322 Usluge tekućeg i investicijskog održavanja postrojenja i opreme</t>
  </si>
  <si>
    <t>32341 Opskrba vodom</t>
  </si>
  <si>
    <t>32342 Iznošenje i odvoz smeća</t>
  </si>
  <si>
    <t>32343 Deratizacija i dezinsekcija</t>
  </si>
  <si>
    <t>32344 Dimnjačarske i ekološke usluge</t>
  </si>
  <si>
    <t>32349 Ostale komunalne usluge</t>
  </si>
  <si>
    <t>32354 Licence</t>
  </si>
  <si>
    <t>32359 Ostale najamnine i zakupnine</t>
  </si>
  <si>
    <t>32361 Obvezni i preventivni zdravstveni pregledi zaposlenika</t>
  </si>
  <si>
    <t>32372 Ugovori o djelu</t>
  </si>
  <si>
    <t>32381 Usluge ažuriranja računalnih baza</t>
  </si>
  <si>
    <t>32391 Grafičke i tiskarske usluge, usluge kopiranja i uvezivanja i slično</t>
  </si>
  <si>
    <t>32396 Usluge čuvanja imovine i osoba</t>
  </si>
  <si>
    <t>32399 Ostale nespomenute usluge</t>
  </si>
  <si>
    <t>32922 Premije osiguranja ostale imovine</t>
  </si>
  <si>
    <t>32931 Reprezentacija</t>
  </si>
  <si>
    <t>32941 Tuzemne članarine</t>
  </si>
  <si>
    <t>32991 Rashodi protokola</t>
  </si>
  <si>
    <t>32999 Ostali nespomenuti rashodi poslovanja</t>
  </si>
  <si>
    <t>34311 Usluge banaka</t>
  </si>
  <si>
    <t>34312 Usluge platnog prometa</t>
  </si>
  <si>
    <t>18054004 REDOVNA DJELATNOST OSNOVNOG OBRAZOVANJA</t>
  </si>
  <si>
    <t>Izvor: 49 Pomoći iz državnog proračuna za plaće te ostale rashode za zaposlene</t>
  </si>
  <si>
    <t>31111 Plaće za zaposlene</t>
  </si>
  <si>
    <t>31212 Nagrade</t>
  </si>
  <si>
    <t>31213 Darovi</t>
  </si>
  <si>
    <t>31215 Naknade za bolest, invalidnost i smrtni slučaj</t>
  </si>
  <si>
    <t>31216 Regres za godišnji odmor</t>
  </si>
  <si>
    <t>31219 Ostali nenavedeni rashodi za zaposlene</t>
  </si>
  <si>
    <t>31321 Doprinosi za obvezno zdravstveno osiguranje</t>
  </si>
  <si>
    <t>32121 Naknade za prijevoz na posao i s posla</t>
  </si>
  <si>
    <t>32955 Novčana naknada poslodavca zbog nezapošljavanja osoba s invaliditetom</t>
  </si>
  <si>
    <t>18055002 OSTALI PROJEKTI U OSNOVNOM ŠKOLSTVU</t>
  </si>
  <si>
    <t>Izvor: 11 Opći prihodi i primici</t>
  </si>
  <si>
    <t>37221 Sufinanciranje cijene prijevoza</t>
  </si>
  <si>
    <t>37229 Ostale naknade iz proračuna u naravi</t>
  </si>
  <si>
    <t>Izvor: 29 Višak / manjak prihoda proračunskih korisnika</t>
  </si>
  <si>
    <t>Izvor: 55 Donacije i ostali namjenski prihodi proračunskih korisnika</t>
  </si>
  <si>
    <t>31112 Plaće za vježbenike</t>
  </si>
  <si>
    <t>38129 Ostale tekuće donacije u naravi</t>
  </si>
  <si>
    <t>42411 Knjige u knjižnici</t>
  </si>
  <si>
    <t>Izvor: 99 Višak/manjak prihoda proračunskih korisnika</t>
  </si>
  <si>
    <t>18055006 PRODUŽENI BORAVAK</t>
  </si>
  <si>
    <t>32321 Usluge tekućeg i investicijskog održavanja građevinskih objekata</t>
  </si>
  <si>
    <t>32241 Materijal i dijelovi za tekuće i inveticijsko održavanje građevinskih objekata</t>
  </si>
  <si>
    <t>32363 Laboratorijske usluge</t>
  </si>
  <si>
    <t>42259 Ostali instrumenti, uređaji i strojevi</t>
  </si>
  <si>
    <t>18055021 TEKUĆE I INVESTICIJSKO ODRŽAVANJE IZNAD MINIMALNOG STANDARDA</t>
  </si>
  <si>
    <t>Izvor: 22 Višak/manjak prihoda</t>
  </si>
  <si>
    <t>18055023 STRUČNO RAZVOJNE SLUŽBE</t>
  </si>
  <si>
    <t>18055036 ASISTENT U NASTAVI</t>
  </si>
  <si>
    <t>Izvor: 44 EU fondovi-pomoći</t>
  </si>
  <si>
    <t>18055039 NABAVA ŠKOLSKIH UDŽBENIKA</t>
  </si>
  <si>
    <t>18055040 SHEMA ŠKOLSKOG VOĆA</t>
  </si>
  <si>
    <t>Izvor: 42 Namjenske tekuće pomoći</t>
  </si>
  <si>
    <t>32224 Namirnice</t>
  </si>
  <si>
    <t>18055043 PREHRANA ZA UČENIKE U OSNOVNIM ŠKOLAMA</t>
  </si>
  <si>
    <t>18056002 ŠKOLSKA OPREMA</t>
  </si>
  <si>
    <t>42211 Računala i računalna oprema</t>
  </si>
  <si>
    <t>Plan 2025</t>
  </si>
  <si>
    <t>Plan 2026</t>
  </si>
  <si>
    <t>Plan 2027</t>
  </si>
  <si>
    <t>Plan 2028</t>
  </si>
  <si>
    <t>Ostvarenje 2024</t>
  </si>
  <si>
    <t>A. RAČUN PRIHODA I RASHODA</t>
  </si>
  <si>
    <t>PRIHODI I RASHODI PREMA EKONOMSKOJ KLASIFIKACIJI</t>
  </si>
  <si>
    <t>BROJČANA OZNAKA I NAZIV RAČUNA PRIHODA I RAHODA</t>
  </si>
  <si>
    <t>Ostvarenje 2024.</t>
  </si>
  <si>
    <t>6 Prihodi poslovanja</t>
  </si>
  <si>
    <t>63 Pomoći iz inozemstva (darovnice) i od subjekata unutar opće države</t>
  </si>
  <si>
    <t>634 Ostale pomoći unutar opće države</t>
  </si>
  <si>
    <t>6341 Ostale tekuće pomoći unutar opće države</t>
  </si>
  <si>
    <t>636 Tekuće pomoći pror.koris. iz proračuna koji im nije nadležan</t>
  </si>
  <si>
    <t>6361 Tekuće pomoći pror.korisnika iz proračuna koji im nije nadležan</t>
  </si>
  <si>
    <t>6362 Kapitalne pomoći prorač. korisnika iz proračuna koji im nije nadležan</t>
  </si>
  <si>
    <t>64 Prihodi od imovine</t>
  </si>
  <si>
    <t>641 Prihodi od financijske imovine</t>
  </si>
  <si>
    <t>6413 Kamate na oročena sredstva i depozite po viđenju</t>
  </si>
  <si>
    <t>65 Prihodi od upravnih administrativnih pristojbi, pristojbi po posebnim propisima i naknada</t>
  </si>
  <si>
    <t>652 Prihodi po posebnim propisima</t>
  </si>
  <si>
    <t>6526 Ostali nespomenuti prihodi</t>
  </si>
  <si>
    <t>67 Prihodi iz nadležnog proračuna i od HZZO-a na temelju ugovornih obveza</t>
  </si>
  <si>
    <t>671 Prihodi iz nadležnog proračuna za financiranje redovne djelatnosti pror.korisnika</t>
  </si>
  <si>
    <t>6711 Prihodi iz nadležnog proračuna za financiranje rashoda poslovanja</t>
  </si>
  <si>
    <t>6712 Prihodi iz nadležnog proračuna za financiranje ras.za nabavu nefin. imovine</t>
  </si>
  <si>
    <t>68 Kazne, upravne mjere i ostali prihodi</t>
  </si>
  <si>
    <t>683 Ostali prihodi</t>
  </si>
  <si>
    <t>6831 Ostali prihodi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</si>
  <si>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</si>
  <si>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</si>
  <si>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</si>
  <si>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</si>
  <si>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922 Manjak prihoda</t>
  </si>
  <si>
    <t>3 Rashodi poslovanja</t>
  </si>
  <si>
    <t>31 Rashodi za zaposlene</t>
  </si>
  <si>
    <t>311 Plaće</t>
  </si>
  <si>
    <t>3111 Plaće za redovan rad</t>
  </si>
  <si>
    <t>312 Ostali rashodi za zaposlene</t>
  </si>
  <si>
    <t>3121 Ostali rashodi za zaposlene</t>
  </si>
  <si>
    <t>313 Doprinosi na plaće</t>
  </si>
  <si>
    <t>3132 Doprinos za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</si>
  <si>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</si>
  <si>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</si>
  <si>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</si>
  <si>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</si>
  <si>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</si>
  <si>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</si>
  <si>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</si>
  <si>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</si>
  <si>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</si>
  <si>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</si>
  <si>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</si>
  <si>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</si>
  <si>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</si>
  <si>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</si>
  <si>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</si>
  <si>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</si>
  <si>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</si>
  <si>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</si>
  <si>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</si>
  <si>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</si>
  <si>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</si>
  <si>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</si>
  <si>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</si>
  <si>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</si>
  <si>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</si>
  <si>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</si>
  <si>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</si>
  <si>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</si>
  <si>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</si>
  <si>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</si>
  <si>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</si>
  <si>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</si>
  <si>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</si>
  <si>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</si>
  <si>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</si>
  <si>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</si>
  <si>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</si>
  <si>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</si>
  <si>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</si>
  <si>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</si>
  <si>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</si>
  <si>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4225 Instrumenti, uređaji i strojevi</t>
  </si>
  <si>
    <t>424 Knjige, umjetnička djela i ostale izložbene vrijednosti</t>
  </si>
  <si>
    <t>4241 Knjige u knjižnicama</t>
  </si>
  <si>
    <t>Plan 2025.</t>
  </si>
  <si>
    <t>Plan 2026.</t>
  </si>
  <si>
    <t>Plan 2027.</t>
  </si>
  <si>
    <t>Plan 2028.</t>
  </si>
  <si>
    <t>PRIHODI I RASHODI PREMA IZVORIMA FINANCIRANJA</t>
  </si>
  <si>
    <t>671 Pomoći proračunu iz drugih proračuna</t>
  </si>
  <si>
    <t xml:space="preserve">Izvor: 22 </t>
  </si>
  <si>
    <t>Izvor: 25 Vlastiti prihodi proračunskih korisnika</t>
  </si>
  <si>
    <t>922 Višak/manjak prihoda</t>
  </si>
  <si>
    <t>I. OPĆI DIO</t>
  </si>
  <si>
    <t>Naziv</t>
  </si>
  <si>
    <t>PRIHODI POSLOVANJA</t>
  </si>
  <si>
    <t>PRIHODI OD PRODAJE NEFINANCIJSKE IMOVINE</t>
  </si>
  <si>
    <t>RASHODI  POSLOVANJA</t>
  </si>
  <si>
    <t>RASHODI ZA NABAVU NEFINANCIJSKE IMOVINE</t>
  </si>
  <si>
    <t>RAZLIKA - VIŠAK / MANJAK</t>
  </si>
  <si>
    <t>B. RAČUN FINANCIRANJA</t>
  </si>
  <si>
    <t>IZDACI ZA FINANCIJSKU IMOVINU I OTPLATE ZAJMOVA</t>
  </si>
  <si>
    <t>NETO FINANCIRANJE</t>
  </si>
  <si>
    <t>A) SAŽETAK RAČUNA PRIHODA I RASHODA</t>
  </si>
  <si>
    <t>Projekcija 
za 2027.</t>
  </si>
  <si>
    <t>kn</t>
  </si>
  <si>
    <t>eur</t>
  </si>
  <si>
    <t>PRIHODI UKUPNO</t>
  </si>
  <si>
    <t>RASHODI UKUPNO</t>
  </si>
  <si>
    <t>B) SAŽETAK RAČUNA FINANCIRANJA</t>
  </si>
  <si>
    <t>PRIMICI OD FINANCIJSKE IMOVINE I ZADUŽIVANJA</t>
  </si>
  <si>
    <t xml:space="preserve">C) PRENESENI VIŠAK ILI PRENESENI MANJAK </t>
  </si>
  <si>
    <t>PRIJENOS VIŠKA / MANJKA IZ PRETHODNE/IH GODINE</t>
  </si>
  <si>
    <t>PRIJENOS VIŠKA / MANJKA U SLJEDEĆE RAZDOBLJE</t>
  </si>
  <si>
    <t>VIŠAK / MANJAK + NETO FINANCIRANJE + PRIJENOS VIŠKA / MANJKA IZ PRETHODNE(IH) GODINE -PRIJENOS VIŠKA / MANJKA U SLJEDEĆE RAZDOBLJE</t>
  </si>
  <si>
    <t>D) VIŠEGODIŠNJI PLAN URAVNOTEŽENJA</t>
  </si>
  <si>
    <t>PRIJENOS VIŠKA / MANJKA IZ PRETHODNE (IH) GODINE</t>
  </si>
  <si>
    <t>VIŠAK / MANJAK IZ PRETHODNE(IH) GODINE KOJI ĆE SE RASPOREDITI / POKRITI</t>
  </si>
  <si>
    <t>VIŠAK / MANJAK TEKUĆE GODINE</t>
  </si>
  <si>
    <t xml:space="preserve">A. RAČUN PRIHODA I RASHODA </t>
  </si>
  <si>
    <t>RASHODI PREMA FUNKCIJSKOJ KLASIFIKACIJI</t>
  </si>
  <si>
    <t>BROJČANA OZNAKA I NAZIV</t>
  </si>
  <si>
    <t>UKUPNI RASHODI</t>
  </si>
  <si>
    <t>09 Obrazovanje</t>
  </si>
  <si>
    <t>091 Predškolsko i osnovno obrazovanje</t>
  </si>
  <si>
    <t>Razred</t>
  </si>
  <si>
    <t>Skupina</t>
  </si>
  <si>
    <t>Izvor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</si>
  <si>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</si>
  <si>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</si>
  <si>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</si>
  <si>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</si>
  <si>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</si>
  <si>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Opći prihodi i primici</t>
  </si>
  <si>
    <t>Vlastiti prihodi</t>
  </si>
  <si>
    <t>FINANCIJSKI PLAN PRORAČUNSKOG KORISNIKA JEDINICE LOKALNE I PODRUČNE (REGIONALNE) SAMOUPRAVE 
ZA 2024. I PROJEKCIJA ZA 2025. I 2026. GODINU</t>
  </si>
  <si>
    <t>B. RAČUN FINANCIRANJA PREMA IZVORIMA FINANCIRANJA</t>
  </si>
  <si>
    <t>Brojčana oznaka i naziv</t>
  </si>
  <si>
    <t>PRIMICI UKUPNO</t>
  </si>
  <si>
    <t>8 Namjenski primici od zaduživanja</t>
  </si>
  <si>
    <t xml:space="preserve">  81 Namjenski primici od zaduživanja</t>
  </si>
  <si>
    <t>IZDACI UKUPNO</t>
  </si>
  <si>
    <t>1 Opći prihodi i primici</t>
  </si>
  <si>
    <t xml:space="preserve">  11 Opći prihodi i primici</t>
  </si>
  <si>
    <t>3 Vlastiti prihodi</t>
  </si>
  <si>
    <t xml:space="preserve">  31 Vlastiti prihodi</t>
  </si>
  <si>
    <t>Izvršenje 2024.</t>
  </si>
  <si>
    <t>Plan za 2026.</t>
  </si>
  <si>
    <t>Projekcija 
za 2028.</t>
  </si>
  <si>
    <t>II. POSEBNI DIO</t>
  </si>
  <si>
    <t>Proračun za 2026.</t>
  </si>
  <si>
    <t>RASHODI (3 i 4)</t>
  </si>
  <si>
    <t>PRIHODI (6 i 7)</t>
  </si>
  <si>
    <t>18055038 DODATNA NASTAVA (FOLKLOR)</t>
  </si>
  <si>
    <t>OStvarenje 2024.</t>
  </si>
  <si>
    <t>3112 Plaće za vježbenike</t>
  </si>
  <si>
    <t>Izvor: 99 Višak / manjak prihoda proračunskih korisnika</t>
  </si>
  <si>
    <t xml:space="preserve">      311 Plaće</t>
  </si>
  <si>
    <t xml:space="preserve">      313 Doprinosi na plaće</t>
  </si>
  <si>
    <t>32111 Dnevnice za službeni put u inozemstvu</t>
  </si>
  <si>
    <t>42212 Uredski namještaj</t>
  </si>
  <si>
    <t>Izvor: 5.56 EU fondovi-pomoći</t>
  </si>
  <si>
    <t>FINANCIJSKI PLAN OSNOVNE ŠKOLE ANTUNA MASLE - ORAŠAC ZA 2026. I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</si>
</sst>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sz val="10"/>
      <color rgb="FF0000FF"/>
      <name val="Arial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Geneva"/>
      <charset val="238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1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0" fontId="26" fillId="0" borderId="0"/>
    <xf numFmtId="0" fontId="29" fillId="0" borderId="0"/>
  </cellStyleXfs>
  <cellXfs count="157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10" xfId="0" applyFont="1" applyBorder="1" applyAlignment="1">
      <alignment horizontal="center" vertical="center" wrapText="1" indent="1"/>
    </xf>
    <xf numFmtId="4" fontId="20" fillId="33" borderId="11" xfId="0" applyNumberFormat="1" applyFont="1" applyFill="1" applyBorder="1" applyAlignment="1">
      <alignment horizontal="right" wrapText="1" indent="1"/>
    </xf>
    <xf numFmtId="0" fontId="20" fillId="34" borderId="11" xfId="0" applyFont="1" applyFill="1" applyBorder="1" applyAlignment="1">
      <alignment horizontal="left" wrapText="1" indent="1"/>
    </xf>
    <xf numFmtId="4" fontId="20" fillId="34" borderId="11" xfId="0" applyNumberFormat="1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left" wrapText="1" indent="1"/>
    </xf>
    <xf numFmtId="4" fontId="21" fillId="33" borderId="11" xfId="0" applyNumberFormat="1" applyFont="1" applyFill="1" applyBorder="1" applyAlignment="1">
      <alignment horizontal="right" wrapText="1" indent="1"/>
    </xf>
    <xf numFmtId="0" fontId="20" fillId="33" borderId="11" xfId="0" applyFont="1" applyFill="1" applyBorder="1" applyAlignment="1">
      <alignment horizontal="left" wrapText="1" indent="3"/>
    </xf>
    <xf numFmtId="0" fontId="20" fillId="33" borderId="11" xfId="0" applyFont="1" applyFill="1" applyBorder="1" applyAlignment="1">
      <alignment horizontal="left" wrapText="1" indent="5"/>
    </xf>
    <xf numFmtId="0" fontId="21" fillId="33" borderId="11" xfId="0" applyFont="1" applyFill="1" applyBorder="1" applyAlignment="1">
      <alignment horizontal="left" wrapText="1" indent="2"/>
    </xf>
    <xf numFmtId="0" fontId="23" fillId="0" borderId="0" xfId="42" applyFont="1" applyFill="1" applyBorder="1" applyAlignment="1">
      <alignment vertical="center"/>
    </xf>
    <xf numFmtId="0" fontId="24" fillId="0" borderId="0" xfId="42" applyFont="1"/>
    <xf numFmtId="0" fontId="25" fillId="0" borderId="0" xfId="42" applyFont="1" applyFill="1" applyBorder="1" applyAlignment="1">
      <alignment vertical="center"/>
    </xf>
    <xf numFmtId="4" fontId="27" fillId="0" borderId="13" xfId="43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 indent="1"/>
    </xf>
    <xf numFmtId="0" fontId="27" fillId="0" borderId="0" xfId="44" applyFont="1" applyFill="1" applyBorder="1"/>
    <xf numFmtId="0" fontId="28" fillId="35" borderId="11" xfId="0" applyFont="1" applyFill="1" applyBorder="1" applyAlignment="1">
      <alignment horizontal="left" wrapText="1" indent="4"/>
    </xf>
    <xf numFmtId="0" fontId="24" fillId="0" borderId="0" xfId="44" applyFont="1" applyFill="1" applyBorder="1"/>
    <xf numFmtId="0" fontId="28" fillId="36" borderId="11" xfId="0" applyFont="1" applyFill="1" applyBorder="1" applyAlignment="1">
      <alignment horizontal="left" wrapText="1" indent="4"/>
    </xf>
    <xf numFmtId="0" fontId="30" fillId="33" borderId="11" xfId="0" applyFont="1" applyFill="1" applyBorder="1" applyAlignment="1">
      <alignment horizontal="left" wrapText="1" indent="5"/>
    </xf>
    <xf numFmtId="0" fontId="31" fillId="0" borderId="0" xfId="0" applyFont="1" applyAlignment="1">
      <alignment horizontal="left" indent="1"/>
    </xf>
    <xf numFmtId="0" fontId="28" fillId="35" borderId="11" xfId="0" applyFont="1" applyFill="1" applyBorder="1" applyAlignment="1">
      <alignment horizontal="left" wrapText="1" indent="1"/>
    </xf>
    <xf numFmtId="0" fontId="30" fillId="36" borderId="11" xfId="0" applyFont="1" applyFill="1" applyBorder="1" applyAlignment="1">
      <alignment horizontal="left" wrapText="1" indent="3"/>
    </xf>
    <xf numFmtId="0" fontId="33" fillId="0" borderId="0" xfId="0" applyNumberFormat="1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Border="1" applyAlignment="1" applyProtection="1">
      <alignment vertical="center" wrapText="1"/>
    </xf>
    <xf numFmtId="0" fontId="33" fillId="0" borderId="0" xfId="0" applyNumberFormat="1" applyFont="1" applyFill="1" applyBorder="1" applyAlignment="1" applyProtection="1">
      <alignment horizontal="left" wrapText="1"/>
    </xf>
    <xf numFmtId="0" fontId="37" fillId="0" borderId="0" xfId="0" applyNumberFormat="1" applyFont="1" applyFill="1" applyBorder="1" applyAlignment="1" applyProtection="1">
      <alignment wrapText="1"/>
    </xf>
    <xf numFmtId="0" fontId="33" fillId="0" borderId="14" xfId="0" applyNumberFormat="1" applyFont="1" applyFill="1" applyBorder="1" applyAlignment="1" applyProtection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38" fillId="0" borderId="14" xfId="0" applyFont="1" applyBorder="1" applyAlignment="1">
      <alignment horizontal="right" vertical="center"/>
    </xf>
    <xf numFmtId="0" fontId="39" fillId="0" borderId="15" xfId="0" quotePrefix="1" applyFont="1" applyBorder="1" applyAlignment="1">
      <alignment horizontal="left" wrapText="1"/>
    </xf>
    <xf numFmtId="0" fontId="39" fillId="0" borderId="13" xfId="0" quotePrefix="1" applyFont="1" applyBorder="1" applyAlignment="1">
      <alignment horizontal="left" wrapText="1"/>
    </xf>
    <xf numFmtId="0" fontId="39" fillId="0" borderId="13" xfId="0" quotePrefix="1" applyFont="1" applyBorder="1" applyAlignment="1">
      <alignment horizontal="center" wrapText="1"/>
    </xf>
    <xf numFmtId="0" fontId="39" fillId="0" borderId="13" xfId="0" quotePrefix="1" applyNumberFormat="1" applyFont="1" applyFill="1" applyBorder="1" applyAlignment="1" applyProtection="1">
      <alignment horizontal="left"/>
    </xf>
    <xf numFmtId="0" fontId="39" fillId="37" borderId="15" xfId="0" applyNumberFormat="1" applyFont="1" applyFill="1" applyBorder="1" applyAlignment="1" applyProtection="1">
      <alignment horizontal="center" vertical="center" wrapText="1"/>
    </xf>
    <xf numFmtId="0" fontId="39" fillId="37" borderId="16" xfId="0" applyNumberFormat="1" applyFont="1" applyFill="1" applyBorder="1" applyAlignment="1" applyProtection="1">
      <alignment horizontal="center" vertical="center" wrapText="1"/>
    </xf>
    <xf numFmtId="4" fontId="39" fillId="36" borderId="16" xfId="0" applyNumberFormat="1" applyFont="1" applyFill="1" applyBorder="1" applyAlignment="1">
      <alignment horizontal="right"/>
    </xf>
    <xf numFmtId="3" fontId="39" fillId="36" borderId="16" xfId="0" applyNumberFormat="1" applyFont="1" applyFill="1" applyBorder="1" applyAlignment="1">
      <alignment horizontal="right"/>
    </xf>
    <xf numFmtId="4" fontId="39" fillId="0" borderId="16" xfId="0" applyNumberFormat="1" applyFont="1" applyFill="1" applyBorder="1" applyAlignment="1">
      <alignment horizontal="right"/>
    </xf>
    <xf numFmtId="0" fontId="40" fillId="36" borderId="15" xfId="0" applyFont="1" applyFill="1" applyBorder="1" applyAlignment="1">
      <alignment horizontal="left" vertical="center"/>
    </xf>
    <xf numFmtId="0" fontId="29" fillId="36" borderId="13" xfId="0" applyNumberFormat="1" applyFont="1" applyFill="1" applyBorder="1" applyAlignment="1" applyProtection="1">
      <alignment vertical="center"/>
    </xf>
    <xf numFmtId="4" fontId="39" fillId="0" borderId="16" xfId="0" applyNumberFormat="1" applyFont="1" applyBorder="1" applyAlignment="1">
      <alignment horizontal="right"/>
    </xf>
    <xf numFmtId="3" fontId="39" fillId="0" borderId="16" xfId="0" applyNumberFormat="1" applyFont="1" applyBorder="1" applyAlignment="1">
      <alignment horizontal="right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Border="1" applyAlignment="1" applyProtection="1"/>
    <xf numFmtId="0" fontId="33" fillId="0" borderId="0" xfId="0" quotePrefix="1" applyNumberFormat="1" applyFont="1" applyFill="1" applyBorder="1" applyAlignment="1" applyProtection="1">
      <alignment horizontal="center" vertical="center" wrapText="1"/>
    </xf>
    <xf numFmtId="3" fontId="39" fillId="38" borderId="15" xfId="0" quotePrefix="1" applyNumberFormat="1" applyFont="1" applyFill="1" applyBorder="1" applyAlignment="1">
      <alignment horizontal="right"/>
    </xf>
    <xf numFmtId="4" fontId="39" fillId="38" borderId="15" xfId="0" quotePrefix="1" applyNumberFormat="1" applyFont="1" applyFill="1" applyBorder="1" applyAlignment="1">
      <alignment horizontal="right"/>
    </xf>
    <xf numFmtId="3" fontId="39" fillId="38" borderId="16" xfId="0" applyNumberFormat="1" applyFont="1" applyFill="1" applyBorder="1" applyAlignment="1" applyProtection="1">
      <alignment horizontal="right" wrapText="1"/>
    </xf>
    <xf numFmtId="3" fontId="39" fillId="38" borderId="16" xfId="0" quotePrefix="1" applyNumberFormat="1" applyFont="1" applyFill="1" applyBorder="1" applyAlignment="1">
      <alignment horizontal="right"/>
    </xf>
    <xf numFmtId="4" fontId="39" fillId="36" borderId="15" xfId="0" quotePrefix="1" applyNumberFormat="1" applyFont="1" applyFill="1" applyBorder="1" applyAlignment="1">
      <alignment horizontal="right"/>
    </xf>
    <xf numFmtId="0" fontId="41" fillId="0" borderId="0" xfId="0" quotePrefix="1" applyNumberFormat="1" applyFont="1" applyFill="1" applyBorder="1" applyAlignment="1" applyProtection="1">
      <alignment horizontal="left" wrapText="1"/>
    </xf>
    <xf numFmtId="0" fontId="42" fillId="0" borderId="0" xfId="0" applyNumberFormat="1" applyFont="1" applyFill="1" applyBorder="1" applyAlignment="1" applyProtection="1">
      <alignment wrapText="1"/>
    </xf>
    <xf numFmtId="3" fontId="32" fillId="0" borderId="0" xfId="0" applyNumberFormat="1" applyFont="1" applyBorder="1" applyAlignment="1">
      <alignment horizontal="right"/>
    </xf>
    <xf numFmtId="1" fontId="39" fillId="38" borderId="15" xfId="0" quotePrefix="1" applyNumberFormat="1" applyFont="1" applyFill="1" applyBorder="1" applyAlignment="1">
      <alignment horizontal="right"/>
    </xf>
    <xf numFmtId="1" fontId="39" fillId="38" borderId="16" xfId="0" applyNumberFormat="1" applyFont="1" applyFill="1" applyBorder="1" applyAlignment="1" applyProtection="1">
      <alignment horizontal="right" wrapText="1"/>
    </xf>
    <xf numFmtId="1" fontId="39" fillId="38" borderId="16" xfId="0" quotePrefix="1" applyNumberFormat="1" applyFont="1" applyFill="1" applyBorder="1" applyAlignment="1">
      <alignment horizontal="right"/>
    </xf>
    <xf numFmtId="1" fontId="39" fillId="36" borderId="15" xfId="0" quotePrefix="1" applyNumberFormat="1" applyFont="1" applyFill="1" applyBorder="1" applyAlignment="1">
      <alignment horizontal="right"/>
    </xf>
    <xf numFmtId="1" fontId="39" fillId="36" borderId="16" xfId="0" applyNumberFormat="1" applyFont="1" applyFill="1" applyBorder="1" applyAlignment="1" applyProtection="1">
      <alignment horizontal="right" wrapText="1"/>
    </xf>
    <xf numFmtId="1" fontId="39" fillId="36" borderId="16" xfId="0" quotePrefix="1" applyNumberFormat="1" applyFont="1" applyFill="1" applyBorder="1" applyAlignment="1">
      <alignment horizontal="right"/>
    </xf>
    <xf numFmtId="0" fontId="43" fillId="0" borderId="0" xfId="0" applyNumberFormat="1" applyFont="1" applyFill="1" applyBorder="1" applyAlignment="1" applyProtection="1"/>
    <xf numFmtId="0" fontId="44" fillId="0" borderId="0" xfId="0" applyNumberFormat="1" applyFont="1" applyFill="1" applyBorder="1" applyAlignment="1" applyProtection="1"/>
    <xf numFmtId="0" fontId="39" fillId="38" borderId="16" xfId="0" applyNumberFormat="1" applyFont="1" applyFill="1" applyBorder="1" applyAlignment="1" applyProtection="1">
      <alignment horizontal="center" vertical="center" wrapText="1"/>
    </xf>
    <xf numFmtId="0" fontId="39" fillId="38" borderId="17" xfId="0" applyNumberFormat="1" applyFont="1" applyFill="1" applyBorder="1" applyAlignment="1" applyProtection="1">
      <alignment horizontal="center" vertical="center" wrapText="1"/>
    </xf>
    <xf numFmtId="0" fontId="40" fillId="38" borderId="17" xfId="0" applyNumberFormat="1" applyFont="1" applyFill="1" applyBorder="1" applyAlignment="1" applyProtection="1">
      <alignment horizontal="center" vertical="center" wrapText="1"/>
    </xf>
    <xf numFmtId="0" fontId="40" fillId="37" borderId="16" xfId="0" applyNumberFormat="1" applyFont="1" applyFill="1" applyBorder="1" applyAlignment="1" applyProtection="1">
      <alignment horizontal="left" vertical="center" wrapText="1"/>
    </xf>
    <xf numFmtId="0" fontId="40" fillId="37" borderId="17" xfId="0" applyNumberFormat="1" applyFont="1" applyFill="1" applyBorder="1" applyAlignment="1" applyProtection="1">
      <alignment horizontal="left" vertical="center" wrapText="1"/>
    </xf>
    <xf numFmtId="4" fontId="40" fillId="37" borderId="17" xfId="0" applyNumberFormat="1" applyFont="1" applyFill="1" applyBorder="1" applyAlignment="1">
      <alignment horizontal="right"/>
    </xf>
    <xf numFmtId="0" fontId="16" fillId="0" borderId="0" xfId="0" applyFont="1"/>
    <xf numFmtId="0" fontId="45" fillId="37" borderId="16" xfId="0" quotePrefix="1" applyFont="1" applyFill="1" applyBorder="1" applyAlignment="1">
      <alignment horizontal="left" vertical="center" wrapText="1"/>
    </xf>
    <xf numFmtId="0" fontId="45" fillId="37" borderId="17" xfId="0" quotePrefix="1" applyFont="1" applyFill="1" applyBorder="1" applyAlignment="1">
      <alignment horizontal="left" vertical="center" wrapText="1"/>
    </xf>
    <xf numFmtId="4" fontId="29" fillId="37" borderId="17" xfId="0" applyNumberFormat="1" applyFont="1" applyFill="1" applyBorder="1" applyAlignment="1">
      <alignment horizontal="right"/>
    </xf>
    <xf numFmtId="0" fontId="14" fillId="0" borderId="0" xfId="0" applyFont="1"/>
    <xf numFmtId="3" fontId="35" fillId="37" borderId="17" xfId="0" applyNumberFormat="1" applyFont="1" applyFill="1" applyBorder="1" applyAlignment="1">
      <alignment horizontal="right"/>
    </xf>
    <xf numFmtId="3" fontId="35" fillId="37" borderId="16" xfId="0" applyNumberFormat="1" applyFont="1" applyFill="1" applyBorder="1" applyAlignment="1">
      <alignment horizontal="right"/>
    </xf>
    <xf numFmtId="0" fontId="29" fillId="37" borderId="16" xfId="0" applyNumberFormat="1" applyFont="1" applyFill="1" applyBorder="1" applyAlignment="1" applyProtection="1">
      <alignment horizontal="left" vertical="center" wrapText="1"/>
    </xf>
    <xf numFmtId="0" fontId="29" fillId="37" borderId="17" xfId="0" applyNumberFormat="1" applyFont="1" applyFill="1" applyBorder="1" applyAlignment="1" applyProtection="1">
      <alignment horizontal="left" vertical="center" wrapText="1"/>
    </xf>
    <xf numFmtId="0" fontId="29" fillId="37" borderId="16" xfId="0" quotePrefix="1" applyFont="1" applyFill="1" applyBorder="1" applyAlignment="1">
      <alignment horizontal="left" vertical="center"/>
    </xf>
    <xf numFmtId="0" fontId="45" fillId="37" borderId="16" xfId="0" quotePrefix="1" applyFont="1" applyFill="1" applyBorder="1" applyAlignment="1">
      <alignment horizontal="left" vertical="center"/>
    </xf>
    <xf numFmtId="0" fontId="40" fillId="37" borderId="16" xfId="0" applyFont="1" applyFill="1" applyBorder="1" applyAlignment="1">
      <alignment horizontal="left" vertical="center"/>
    </xf>
    <xf numFmtId="0" fontId="40" fillId="37" borderId="16" xfId="0" applyNumberFormat="1" applyFont="1" applyFill="1" applyBorder="1" applyAlignment="1" applyProtection="1">
      <alignment horizontal="left" vertical="center"/>
    </xf>
    <xf numFmtId="0" fontId="40" fillId="37" borderId="16" xfId="0" applyNumberFormat="1" applyFont="1" applyFill="1" applyBorder="1" applyAlignment="1" applyProtection="1">
      <alignment vertical="center" wrapText="1"/>
    </xf>
    <xf numFmtId="0" fontId="40" fillId="37" borderId="17" xfId="0" applyNumberFormat="1" applyFont="1" applyFill="1" applyBorder="1" applyAlignment="1" applyProtection="1">
      <alignment vertical="center" wrapText="1"/>
    </xf>
    <xf numFmtId="0" fontId="29" fillId="37" borderId="16" xfId="0" applyNumberFormat="1" applyFont="1" applyFill="1" applyBorder="1" applyAlignment="1" applyProtection="1">
      <alignment vertical="center" wrapText="1"/>
    </xf>
    <xf numFmtId="0" fontId="29" fillId="37" borderId="17" xfId="0" applyNumberFormat="1" applyFont="1" applyFill="1" applyBorder="1" applyAlignment="1" applyProtection="1">
      <alignment vertical="center" wrapText="1"/>
    </xf>
    <xf numFmtId="3" fontId="35" fillId="37" borderId="16" xfId="0" applyNumberFormat="1" applyFont="1" applyFill="1" applyBorder="1" applyAlignment="1" applyProtection="1">
      <alignment horizontal="right" wrapText="1"/>
    </xf>
    <xf numFmtId="0" fontId="45" fillId="37" borderId="17" xfId="0" quotePrefix="1" applyFont="1" applyFill="1" applyBorder="1" applyAlignment="1">
      <alignment horizontal="left" vertical="center"/>
    </xf>
    <xf numFmtId="0" fontId="32" fillId="0" borderId="0" xfId="0" applyNumberFormat="1" applyFont="1" applyFill="1" applyBorder="1" applyAlignment="1" applyProtection="1">
      <alignment vertical="center" wrapText="1"/>
    </xf>
    <xf numFmtId="0" fontId="32" fillId="0" borderId="12" xfId="0" applyNumberFormat="1" applyFont="1" applyFill="1" applyBorder="1" applyAlignment="1" applyProtection="1">
      <alignment horizontal="center" vertical="center" wrapText="1"/>
    </xf>
    <xf numFmtId="4" fontId="39" fillId="36" borderId="15" xfId="0" quotePrefix="1" applyNumberFormat="1" applyFont="1" applyFill="1" applyBorder="1" applyAlignment="1">
      <alignment horizontal="right" vertical="center"/>
    </xf>
    <xf numFmtId="4" fontId="39" fillId="36" borderId="16" xfId="0" applyNumberFormat="1" applyFont="1" applyFill="1" applyBorder="1" applyAlignment="1" applyProtection="1">
      <alignment horizontal="right" vertical="center" wrapText="1"/>
    </xf>
    <xf numFmtId="4" fontId="39" fillId="36" borderId="16" xfId="0" quotePrefix="1" applyNumberFormat="1" applyFont="1" applyFill="1" applyBorder="1" applyAlignment="1">
      <alignment horizontal="right" vertical="center"/>
    </xf>
    <xf numFmtId="4" fontId="28" fillId="35" borderId="11" xfId="0" applyNumberFormat="1" applyFont="1" applyFill="1" applyBorder="1" applyAlignment="1">
      <alignment wrapText="1"/>
    </xf>
    <xf numFmtId="4" fontId="28" fillId="36" borderId="11" xfId="0" applyNumberFormat="1" applyFont="1" applyFill="1" applyBorder="1" applyAlignment="1">
      <alignment wrapText="1"/>
    </xf>
    <xf numFmtId="4" fontId="30" fillId="33" borderId="11" xfId="0" applyNumberFormat="1" applyFont="1" applyFill="1" applyBorder="1" applyAlignment="1">
      <alignment wrapText="1"/>
    </xf>
    <xf numFmtId="4" fontId="30" fillId="36" borderId="11" xfId="0" applyNumberFormat="1" applyFont="1" applyFill="1" applyBorder="1" applyAlignment="1">
      <alignment wrapText="1"/>
    </xf>
    <xf numFmtId="4" fontId="30" fillId="36" borderId="11" xfId="0" applyNumberFormat="1" applyFont="1" applyFill="1" applyBorder="1" applyAlignment="1">
      <alignment vertical="center" wrapText="1"/>
    </xf>
    <xf numFmtId="4" fontId="39" fillId="37" borderId="17" xfId="0" applyNumberFormat="1" applyFont="1" applyFill="1" applyBorder="1" applyAlignment="1">
      <alignment horizontal="right"/>
    </xf>
    <xf numFmtId="4" fontId="20" fillId="33" borderId="11" xfId="0" applyNumberFormat="1" applyFont="1" applyFill="1" applyBorder="1" applyAlignment="1">
      <alignment horizontal="left" wrapText="1" indent="1"/>
    </xf>
    <xf numFmtId="4" fontId="24" fillId="0" borderId="0" xfId="42" applyNumberFormat="1" applyFont="1"/>
    <xf numFmtId="4" fontId="24" fillId="0" borderId="0" xfId="44" applyNumberFormat="1" applyFont="1" applyFill="1" applyBorder="1"/>
    <xf numFmtId="4" fontId="31" fillId="0" borderId="0" xfId="0" applyNumberFormat="1" applyFont="1" applyAlignment="1">
      <alignment horizontal="left" indent="1"/>
    </xf>
    <xf numFmtId="1" fontId="39" fillId="38" borderId="15" xfId="0" applyNumberFormat="1" applyFont="1" applyFill="1" applyBorder="1" applyAlignment="1" applyProtection="1">
      <alignment horizontal="left" vertical="center" wrapText="1"/>
    </xf>
    <xf numFmtId="1" fontId="39" fillId="38" borderId="13" xfId="0" applyNumberFormat="1" applyFont="1" applyFill="1" applyBorder="1" applyAlignment="1" applyProtection="1">
      <alignment horizontal="left" vertical="center" wrapText="1"/>
    </xf>
    <xf numFmtId="1" fontId="39" fillId="38" borderId="17" xfId="0" applyNumberFormat="1" applyFont="1" applyFill="1" applyBorder="1" applyAlignment="1" applyProtection="1">
      <alignment horizontal="left" vertical="center" wrapText="1"/>
    </xf>
    <xf numFmtId="1" fontId="39" fillId="36" borderId="15" xfId="0" applyNumberFormat="1" applyFont="1" applyFill="1" applyBorder="1" applyAlignment="1" applyProtection="1">
      <alignment horizontal="left" vertical="center" wrapText="1"/>
    </xf>
    <xf numFmtId="1" fontId="39" fillId="36" borderId="13" xfId="0" applyNumberFormat="1" applyFont="1" applyFill="1" applyBorder="1" applyAlignment="1" applyProtection="1">
      <alignment horizontal="left" vertical="center" wrapText="1"/>
    </xf>
    <xf numFmtId="1" fontId="39" fillId="36" borderId="17" xfId="0" applyNumberFormat="1" applyFont="1" applyFill="1" applyBorder="1" applyAlignment="1" applyProtection="1">
      <alignment horizontal="left" vertical="center" wrapText="1"/>
    </xf>
    <xf numFmtId="0" fontId="43" fillId="0" borderId="0" xfId="0" applyNumberFormat="1" applyFont="1" applyFill="1" applyBorder="1" applyAlignment="1" applyProtection="1">
      <alignment wrapText="1"/>
    </xf>
    <xf numFmtId="0" fontId="44" fillId="0" borderId="0" xfId="0" applyNumberFormat="1" applyFont="1" applyFill="1" applyBorder="1" applyAlignment="1" applyProtection="1">
      <alignment wrapText="1"/>
    </xf>
    <xf numFmtId="0" fontId="39" fillId="38" borderId="15" xfId="0" applyNumberFormat="1" applyFont="1" applyFill="1" applyBorder="1" applyAlignment="1" applyProtection="1">
      <alignment horizontal="left" vertical="center" wrapText="1"/>
    </xf>
    <xf numFmtId="0" fontId="39" fillId="38" borderId="13" xfId="0" applyNumberFormat="1" applyFont="1" applyFill="1" applyBorder="1" applyAlignment="1" applyProtection="1">
      <alignment horizontal="left" vertical="center" wrapText="1"/>
    </xf>
    <xf numFmtId="0" fontId="39" fillId="38" borderId="17" xfId="0" applyNumberFormat="1" applyFont="1" applyFill="1" applyBorder="1" applyAlignment="1" applyProtection="1">
      <alignment horizontal="left" vertical="center" wrapText="1"/>
    </xf>
    <xf numFmtId="0" fontId="39" fillId="36" borderId="15" xfId="0" applyNumberFormat="1" applyFont="1" applyFill="1" applyBorder="1" applyAlignment="1" applyProtection="1">
      <alignment horizontal="left" vertical="center" wrapText="1"/>
    </xf>
    <xf numFmtId="0" fontId="39" fillId="36" borderId="13" xfId="0" applyNumberFormat="1" applyFont="1" applyFill="1" applyBorder="1" applyAlignment="1" applyProtection="1">
      <alignment horizontal="left" vertical="center" wrapText="1"/>
    </xf>
    <xf numFmtId="0" fontId="39" fillId="36" borderId="17" xfId="0" applyNumberFormat="1" applyFont="1" applyFill="1" applyBorder="1" applyAlignment="1" applyProtection="1">
      <alignment horizontal="left" vertical="center" wrapText="1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wrapText="1"/>
    </xf>
    <xf numFmtId="0" fontId="39" fillId="37" borderId="16" xfId="0" applyNumberFormat="1" applyFont="1" applyFill="1" applyBorder="1" applyAlignment="1" applyProtection="1">
      <alignment horizontal="center" vertical="center" wrapText="1"/>
    </xf>
    <xf numFmtId="0" fontId="39" fillId="37" borderId="15" xfId="0" applyNumberFormat="1" applyFont="1" applyFill="1" applyBorder="1" applyAlignment="1" applyProtection="1">
      <alignment horizontal="center" vertical="center" wrapText="1"/>
    </xf>
    <xf numFmtId="0" fontId="39" fillId="37" borderId="17" xfId="0" applyNumberFormat="1" applyFont="1" applyFill="1" applyBorder="1" applyAlignment="1" applyProtection="1">
      <alignment horizontal="center" vertical="center" wrapText="1"/>
    </xf>
    <xf numFmtId="0" fontId="40" fillId="0" borderId="15" xfId="0" applyNumberFormat="1" applyFont="1" applyFill="1" applyBorder="1" applyAlignment="1" applyProtection="1">
      <alignment horizontal="left" vertical="center" wrapText="1"/>
    </xf>
    <xf numFmtId="0" fontId="40" fillId="0" borderId="13" xfId="0" applyNumberFormat="1" applyFont="1" applyFill="1" applyBorder="1" applyAlignment="1" applyProtection="1">
      <alignment horizontal="left" vertical="center" wrapText="1"/>
    </xf>
    <xf numFmtId="0" fontId="40" fillId="0" borderId="17" xfId="0" applyNumberFormat="1" applyFont="1" applyFill="1" applyBorder="1" applyAlignment="1" applyProtection="1">
      <alignment horizontal="left" vertical="center" wrapText="1"/>
    </xf>
    <xf numFmtId="0" fontId="29" fillId="0" borderId="13" xfId="0" applyNumberFormat="1" applyFont="1" applyFill="1" applyBorder="1" applyAlignment="1" applyProtection="1">
      <alignment vertical="center" wrapText="1"/>
    </xf>
    <xf numFmtId="0" fontId="40" fillId="36" borderId="15" xfId="0" quotePrefix="1" applyNumberFormat="1" applyFont="1" applyFill="1" applyBorder="1" applyAlignment="1" applyProtection="1">
      <alignment horizontal="left" vertical="center" wrapText="1"/>
    </xf>
    <xf numFmtId="0" fontId="29" fillId="36" borderId="13" xfId="0" applyNumberFormat="1" applyFont="1" applyFill="1" applyBorder="1" applyAlignment="1" applyProtection="1">
      <alignment vertical="center" wrapText="1"/>
    </xf>
    <xf numFmtId="0" fontId="40" fillId="0" borderId="15" xfId="0" quotePrefix="1" applyNumberFormat="1" applyFont="1" applyFill="1" applyBorder="1" applyAlignment="1" applyProtection="1">
      <alignment horizontal="left" vertical="center" wrapText="1"/>
    </xf>
    <xf numFmtId="0" fontId="40" fillId="0" borderId="15" xfId="0" quotePrefix="1" applyFont="1" applyBorder="1" applyAlignment="1">
      <alignment horizontal="left" vertical="center"/>
    </xf>
    <xf numFmtId="0" fontId="29" fillId="0" borderId="13" xfId="0" applyNumberFormat="1" applyFont="1" applyFill="1" applyBorder="1" applyAlignment="1" applyProtection="1">
      <alignment vertical="center"/>
    </xf>
    <xf numFmtId="0" fontId="40" fillId="0" borderId="15" xfId="0" quotePrefix="1" applyFont="1" applyFill="1" applyBorder="1" applyAlignment="1">
      <alignment horizontal="left" vertical="center"/>
    </xf>
    <xf numFmtId="0" fontId="40" fillId="36" borderId="15" xfId="0" applyNumberFormat="1" applyFont="1" applyFill="1" applyBorder="1" applyAlignment="1" applyProtection="1">
      <alignment horizontal="left" vertical="center" wrapText="1"/>
    </xf>
    <xf numFmtId="0" fontId="29" fillId="36" borderId="13" xfId="0" applyNumberFormat="1" applyFont="1" applyFill="1" applyBorder="1" applyAlignment="1" applyProtection="1">
      <alignment vertical="center"/>
    </xf>
    <xf numFmtId="0" fontId="25" fillId="0" borderId="0" xfId="42" applyFont="1" applyFill="1" applyBorder="1" applyAlignment="1">
      <alignment horizontal="center" vertical="center"/>
    </xf>
    <xf numFmtId="0" fontId="25" fillId="0" borderId="12" xfId="42" applyFont="1" applyFill="1" applyBorder="1" applyAlignment="1">
      <alignment horizontal="center" vertical="center"/>
    </xf>
    <xf numFmtId="0" fontId="40" fillId="0" borderId="0" xfId="44" applyFont="1" applyFill="1" applyBorder="1" applyAlignment="1">
      <alignment horizontal="center"/>
    </xf>
    <xf numFmtId="0" fontId="23" fillId="0" borderId="0" xfId="42" applyFont="1" applyFill="1" applyBorder="1" applyAlignment="1">
      <alignment horizontal="center" vertical="center"/>
    </xf>
    <xf numFmtId="0" fontId="40" fillId="0" borderId="0" xfId="42" applyFont="1" applyAlignment="1">
      <alignment horizontal="center"/>
    </xf>
    <xf numFmtId="0" fontId="0" fillId="0" borderId="0" xfId="0" applyAlignment="1">
      <alignment horizontal="center"/>
    </xf>
    <xf numFmtId="0" fontId="39" fillId="0" borderId="0" xfId="0" applyNumberFormat="1" applyFont="1" applyFill="1" applyBorder="1" applyAlignment="1" applyProtection="1">
      <alignment horizontal="center" vertical="center" wrapText="1"/>
    </xf>
    <xf numFmtId="0" fontId="40" fillId="38" borderId="15" xfId="0" applyNumberFormat="1" applyFont="1" applyFill="1" applyBorder="1" applyAlignment="1" applyProtection="1">
      <alignment horizontal="center" vertical="center" wrapText="1"/>
    </xf>
    <xf numFmtId="0" fontId="40" fillId="38" borderId="17" xfId="0" applyNumberFormat="1" applyFont="1" applyFill="1" applyBorder="1" applyAlignment="1" applyProtection="1">
      <alignment horizontal="center" vertical="center" wrapText="1"/>
    </xf>
    <xf numFmtId="0" fontId="39" fillId="38" borderId="15" xfId="0" applyNumberFormat="1" applyFont="1" applyFill="1" applyBorder="1" applyAlignment="1" applyProtection="1">
      <alignment horizontal="center" vertical="center" wrapText="1"/>
    </xf>
    <xf numFmtId="0" fontId="39" fillId="38" borderId="17" xfId="0" applyNumberFormat="1" applyFont="1" applyFill="1" applyBorder="1" applyAlignment="1" applyProtection="1">
      <alignment horizontal="center" vertical="center"/>
    </xf>
    <xf numFmtId="0" fontId="32" fillId="0" borderId="12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34" fillId="0" borderId="0" xfId="0" applyNumberFormat="1" applyFont="1" applyFill="1" applyBorder="1" applyAlignment="1" applyProtection="1">
      <alignment vertical="center" wrapText="1"/>
    </xf>
    <xf numFmtId="0" fontId="39" fillId="38" borderId="17" xfId="0" applyNumberFormat="1" applyFont="1" applyFill="1" applyBorder="1" applyAlignment="1" applyProtection="1">
      <alignment horizontal="center" vertical="center" wrapText="1"/>
    </xf>
    <xf numFmtId="0" fontId="30" fillId="35" borderId="11" xfId="0" applyFont="1" applyFill="1" applyBorder="1" applyAlignment="1">
      <alignment horizontal="left" wrapText="1" indent="4"/>
    </xf>
    <xf numFmtId="4" fontId="30" fillId="35" borderId="11" xfId="0" applyNumberFormat="1" applyFont="1" applyFill="1" applyBorder="1" applyAlignment="1">
      <alignment wrapText="1"/>
    </xf>
    <xf numFmtId="0" fontId="30" fillId="37" borderId="11" xfId="0" applyFont="1" applyFill="1" applyBorder="1" applyAlignment="1">
      <alignment horizontal="left" wrapText="1" indent="3"/>
    </xf>
    <xf numFmtId="4" fontId="30" fillId="37" borderId="11" xfId="0" applyNumberFormat="1" applyFont="1" applyFill="1" applyBorder="1" applyAlignment="1">
      <alignment wrapText="1"/>
    </xf>
    <xf numFmtId="0" fontId="24" fillId="37" borderId="0" xfId="42" applyFont="1" applyFill="1"/>
    <xf numFmtId="4" fontId="20" fillId="37" borderId="11" xfId="0" applyNumberFormat="1" applyFont="1" applyFill="1" applyBorder="1" applyAlignment="1">
      <alignment horizontal="right" wrapText="1" indent="1"/>
    </xf>
    <xf numFmtId="4" fontId="20" fillId="37" borderId="11" xfId="0" applyNumberFormat="1" applyFont="1" applyFill="1" applyBorder="1" applyAlignment="1">
      <alignment horizontal="left" wrapText="1" indent="1"/>
    </xf>
    <xf numFmtId="4" fontId="22" fillId="33" borderId="11" xfId="0" applyNumberFormat="1" applyFont="1" applyFill="1" applyBorder="1" applyAlignment="1">
      <alignment horizontal="right" wrapText="1" inden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" xfId="42"/>
    <cellStyle name="Normal 5" xfId="44"/>
    <cellStyle name="Note" xfId="15" builtinId="10" customBuiltin="1"/>
    <cellStyle name="Obično_1Prihodi-rashodi2004" xfId="43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ocuments/PLAN%20-%20GRAD/2025/Financijski_plan_za__2025._godinu%20-%20OBJAVA%20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SAŽETAK"/>
      <sheetName val=" Račun prihoda i rashoda"/>
      <sheetName val="Prihodi i rashodi po izvorima"/>
      <sheetName val="Rashodi prema funkcijskoj kl"/>
      <sheetName val="POSEBNI DIO"/>
      <sheetName val="Račun financiranja"/>
      <sheetName val="Račun financiranja po izvorima"/>
    </sheetNames>
    <sheetDataSet>
      <sheetData sheetId="0"/>
      <sheetData sheetId="1">
        <row r="1">
          <cell r="A1" t="str">
            <v>FINANCIJSKI PLAN OSNOVNE ŠKOLE ANTUNA MASLE - ORAŠAC ZA 2025. I PROJEKCIJA ZA 2026. I 2027. GODINU</v>
          </cell>
        </row>
      </sheetData>
      <sheetData sheetId="2">
        <row r="11">
          <cell r="F11">
            <v>5955841.6400000006</v>
          </cell>
        </row>
        <row r="31">
          <cell r="F31">
            <v>0</v>
          </cell>
        </row>
        <row r="36">
          <cell r="J36">
            <v>0</v>
          </cell>
          <cell r="K36"/>
          <cell r="L36">
            <v>0</v>
          </cell>
          <cell r="M36"/>
          <cell r="N36">
            <v>0</v>
          </cell>
          <cell r="O36"/>
        </row>
        <row r="42">
          <cell r="F42">
            <v>5771292.29</v>
          </cell>
        </row>
        <row r="47">
          <cell r="J47">
            <v>0</v>
          </cell>
          <cell r="L47">
            <v>0</v>
          </cell>
          <cell r="N47">
            <v>0</v>
          </cell>
        </row>
        <row r="83">
          <cell r="F83">
            <v>160027.08000000002</v>
          </cell>
        </row>
      </sheetData>
      <sheetData sheetId="3"/>
      <sheetData sheetId="4"/>
      <sheetData sheetId="5">
        <row r="4">
          <cell r="F4">
            <v>5931319.3700000001</v>
          </cell>
          <cell r="H4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abSelected="1" workbookViewId="0">
      <selection sqref="A1:O1"/>
    </sheetView>
  </sheetViews>
  <sheetFormatPr defaultRowHeight="15"/>
  <cols>
    <col min="5" max="5" width="25.28515625" customWidth="1"/>
    <col min="6" max="6" width="17.7109375" hidden="1" customWidth="1"/>
    <col min="7" max="7" width="17.7109375" customWidth="1"/>
    <col min="8" max="8" width="17.7109375" hidden="1" customWidth="1"/>
    <col min="9" max="9" width="17.7109375" customWidth="1"/>
    <col min="10" max="10" width="17.7109375" hidden="1" customWidth="1"/>
    <col min="11" max="11" width="17.7109375" customWidth="1"/>
    <col min="12" max="12" width="17.7109375" hidden="1" customWidth="1"/>
    <col min="13" max="13" width="17.7109375" customWidth="1"/>
    <col min="14" max="14" width="17.7109375" hidden="1" customWidth="1"/>
    <col min="15" max="15" width="17.7109375" customWidth="1"/>
  </cols>
  <sheetData>
    <row r="1" spans="1:15" ht="42" customHeight="1">
      <c r="A1" s="117" t="s">
        <v>247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ht="18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15.6" customHeight="1">
      <c r="A3" s="117" t="s">
        <v>178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18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5"/>
      <c r="M4" s="25"/>
      <c r="N4" s="25"/>
      <c r="O4" s="25"/>
    </row>
    <row r="5" spans="1:15" ht="18" customHeight="1">
      <c r="A5" s="117" t="s">
        <v>188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5" ht="18">
      <c r="A6" s="26"/>
      <c r="B6" s="27"/>
      <c r="C6" s="27"/>
      <c r="D6" s="27"/>
      <c r="E6" s="28"/>
      <c r="F6" s="29"/>
      <c r="G6" s="29"/>
      <c r="H6" s="29"/>
      <c r="I6" s="29"/>
      <c r="J6" s="29"/>
      <c r="K6" s="29"/>
      <c r="L6" s="29"/>
      <c r="M6" s="29"/>
      <c r="N6" s="30"/>
      <c r="O6" s="30"/>
    </row>
    <row r="7" spans="1:15" ht="25.5" customHeight="1">
      <c r="A7" s="31"/>
      <c r="B7" s="32"/>
      <c r="C7" s="32"/>
      <c r="D7" s="33"/>
      <c r="E7" s="34"/>
      <c r="F7" s="119" t="s">
        <v>91</v>
      </c>
      <c r="G7" s="119"/>
      <c r="H7" s="120" t="s">
        <v>169</v>
      </c>
      <c r="I7" s="121"/>
      <c r="J7" s="120" t="s">
        <v>235</v>
      </c>
      <c r="K7" s="121"/>
      <c r="L7" s="120" t="s">
        <v>189</v>
      </c>
      <c r="M7" s="121"/>
      <c r="N7" s="120" t="s">
        <v>233</v>
      </c>
      <c r="O7" s="121"/>
    </row>
    <row r="8" spans="1:15">
      <c r="A8" s="31"/>
      <c r="B8" s="32"/>
      <c r="C8" s="32"/>
      <c r="D8" s="33"/>
      <c r="E8" s="34"/>
      <c r="F8" s="35" t="s">
        <v>190</v>
      </c>
      <c r="G8" s="35" t="s">
        <v>191</v>
      </c>
      <c r="H8" s="35" t="s">
        <v>190</v>
      </c>
      <c r="I8" s="35" t="s">
        <v>191</v>
      </c>
      <c r="J8" s="35" t="s">
        <v>190</v>
      </c>
      <c r="K8" s="35" t="s">
        <v>191</v>
      </c>
      <c r="L8" s="35" t="s">
        <v>190</v>
      </c>
      <c r="M8" s="35" t="s">
        <v>191</v>
      </c>
      <c r="N8" s="35" t="s">
        <v>190</v>
      </c>
      <c r="O8" s="36" t="s">
        <v>191</v>
      </c>
    </row>
    <row r="9" spans="1:15">
      <c r="A9" s="132" t="s">
        <v>192</v>
      </c>
      <c r="B9" s="127"/>
      <c r="C9" s="127"/>
      <c r="D9" s="127"/>
      <c r="E9" s="133"/>
      <c r="F9" s="37">
        <f>+F10+F11</f>
        <v>5955841.6400000006</v>
      </c>
      <c r="G9" s="37">
        <f t="shared" ref="G9:O9" si="0">+G10+G11</f>
        <v>1190391.51</v>
      </c>
      <c r="H9" s="37">
        <f t="shared" si="0"/>
        <v>1407969</v>
      </c>
      <c r="I9" s="37">
        <f t="shared" si="0"/>
        <v>1407969</v>
      </c>
      <c r="J9" s="37">
        <f t="shared" si="0"/>
        <v>1348900</v>
      </c>
      <c r="K9" s="37">
        <f t="shared" si="0"/>
        <v>1348900</v>
      </c>
      <c r="L9" s="37" t="e">
        <f t="shared" si="0"/>
        <v>#REF!</v>
      </c>
      <c r="M9" s="37">
        <f t="shared" si="0"/>
        <v>1348900</v>
      </c>
      <c r="N9" s="37" t="e">
        <f t="shared" si="0"/>
        <v>#REF!</v>
      </c>
      <c r="O9" s="37">
        <f t="shared" si="0"/>
        <v>1348900</v>
      </c>
    </row>
    <row r="10" spans="1:15">
      <c r="A10" s="122" t="s">
        <v>180</v>
      </c>
      <c r="B10" s="125"/>
      <c r="C10" s="125"/>
      <c r="D10" s="125"/>
      <c r="E10" s="130"/>
      <c r="F10" s="39">
        <f>+'[1] Račun prihoda i rashoda'!F11</f>
        <v>5955841.6400000006</v>
      </c>
      <c r="G10" s="39">
        <f>'RAČUN PRIHODA I RASHODA'!B5</f>
        <v>1189786.6100000001</v>
      </c>
      <c r="H10" s="39">
        <f>'RAČUN PRIHODA I RASHODA'!C5</f>
        <v>1407969</v>
      </c>
      <c r="I10" s="39">
        <f>'RAČUN PRIHODA I RASHODA'!C5</f>
        <v>1407969</v>
      </c>
      <c r="J10" s="39">
        <f>'RAČUN PRIHODA I RASHODA'!E5</f>
        <v>1348900</v>
      </c>
      <c r="K10" s="39">
        <f>'RAČUN PRIHODA I RASHODA'!D5</f>
        <v>1348900</v>
      </c>
      <c r="L10" s="39" t="e">
        <f>'RAČUN PRIHODA I RASHODA'!#REF!</f>
        <v>#REF!</v>
      </c>
      <c r="M10" s="39">
        <f>'RAČUN PRIHODA I RASHODA'!E5</f>
        <v>1348900</v>
      </c>
      <c r="N10" s="39">
        <f>'RAČUN PRIHODA I RASHODA'!G5</f>
        <v>0</v>
      </c>
      <c r="O10" s="39">
        <f>'RAČUN PRIHODA I RASHODA'!F5</f>
        <v>1348900</v>
      </c>
    </row>
    <row r="11" spans="1:15">
      <c r="A11" s="131" t="s">
        <v>181</v>
      </c>
      <c r="B11" s="130"/>
      <c r="C11" s="130"/>
      <c r="D11" s="130"/>
      <c r="E11" s="130"/>
      <c r="F11" s="39">
        <f>+'[1] Račun prihoda i rashoda'!F31</f>
        <v>0</v>
      </c>
      <c r="G11" s="39">
        <f>'RAČUN PRIHODA I RASHODA'!B25</f>
        <v>604.9</v>
      </c>
      <c r="H11" s="39">
        <f>'RAČUN PRIHODA I RASHODA'!C25</f>
        <v>0</v>
      </c>
      <c r="I11" s="39">
        <f>'RAČUN PRIHODA I RASHODA'!C26</f>
        <v>0</v>
      </c>
      <c r="J11" s="39">
        <f>'RAČUN PRIHODA I RASHODA'!D26</f>
        <v>0</v>
      </c>
      <c r="K11" s="39">
        <f>'RAČUN PRIHODA I RASHODA'!D25</f>
        <v>0</v>
      </c>
      <c r="L11" s="39">
        <f>'RAČUN PRIHODA I RASHODA'!F26</f>
        <v>0</v>
      </c>
      <c r="M11" s="39">
        <f>'RAČUN PRIHODA I RASHODA'!E25</f>
        <v>0</v>
      </c>
      <c r="N11" s="39" t="e">
        <f>'RAČUN PRIHODA I RASHODA'!#REF!</f>
        <v>#REF!</v>
      </c>
      <c r="O11" s="39">
        <f>'RAČUN PRIHODA I RASHODA'!H25</f>
        <v>0</v>
      </c>
    </row>
    <row r="12" spans="1:15">
      <c r="A12" s="40" t="s">
        <v>193</v>
      </c>
      <c r="B12" s="41"/>
      <c r="C12" s="41"/>
      <c r="D12" s="41"/>
      <c r="E12" s="41"/>
      <c r="F12" s="37">
        <f>+F13+F14</f>
        <v>5931319.3700000001</v>
      </c>
      <c r="G12" s="37">
        <f t="shared" ref="G12:O12" si="1">+G13+G14</f>
        <v>1171181.29</v>
      </c>
      <c r="H12" s="37">
        <f t="shared" si="1"/>
        <v>1407969</v>
      </c>
      <c r="I12" s="37">
        <f t="shared" si="1"/>
        <v>1407969</v>
      </c>
      <c r="J12" s="37">
        <f t="shared" si="1"/>
        <v>1348900</v>
      </c>
      <c r="K12" s="37">
        <f t="shared" si="1"/>
        <v>1348900</v>
      </c>
      <c r="L12" s="37" t="e">
        <f t="shared" si="1"/>
        <v>#REF!</v>
      </c>
      <c r="M12" s="37">
        <f t="shared" si="1"/>
        <v>1348900</v>
      </c>
      <c r="N12" s="37">
        <f t="shared" si="1"/>
        <v>0</v>
      </c>
      <c r="O12" s="37">
        <f t="shared" si="1"/>
        <v>1348900</v>
      </c>
    </row>
    <row r="13" spans="1:15">
      <c r="A13" s="128" t="s">
        <v>182</v>
      </c>
      <c r="B13" s="125"/>
      <c r="C13" s="125"/>
      <c r="D13" s="125"/>
      <c r="E13" s="125"/>
      <c r="F13" s="39">
        <f>+'[1] Račun prihoda i rashoda'!F42</f>
        <v>5771292.29</v>
      </c>
      <c r="G13" s="39">
        <f>'RAČUN PRIHODA I RASHODA'!B30</f>
        <v>1152942.72</v>
      </c>
      <c r="H13" s="39">
        <f>'RAČUN PRIHODA I RASHODA'!C30</f>
        <v>1379369</v>
      </c>
      <c r="I13" s="39">
        <f>'RAČUN PRIHODA I RASHODA'!C30</f>
        <v>1379369</v>
      </c>
      <c r="J13" s="39">
        <f>'RAČUN PRIHODA I RASHODA'!D30</f>
        <v>1328830</v>
      </c>
      <c r="K13" s="39">
        <f>'RAČUN PRIHODA I RASHODA'!D30</f>
        <v>1328830</v>
      </c>
      <c r="L13" s="39">
        <f>'RAČUN PRIHODA I RASHODA'!F30</f>
        <v>1328830</v>
      </c>
      <c r="M13" s="39">
        <f>'RAČUN PRIHODA I RASHODA'!E30</f>
        <v>1328830</v>
      </c>
      <c r="N13" s="39">
        <f>'RAČUN PRIHODA I RASHODA'!G30</f>
        <v>0</v>
      </c>
      <c r="O13" s="39">
        <f>'RAČUN PRIHODA I RASHODA'!F30</f>
        <v>1328830</v>
      </c>
    </row>
    <row r="14" spans="1:15">
      <c r="A14" s="129" t="s">
        <v>183</v>
      </c>
      <c r="B14" s="130"/>
      <c r="C14" s="130"/>
      <c r="D14" s="130"/>
      <c r="E14" s="130"/>
      <c r="F14" s="42">
        <f>+'[1] Račun prihoda i rashoda'!F83</f>
        <v>160027.08000000002</v>
      </c>
      <c r="G14" s="42">
        <f>'RAČUN PRIHODA I RASHODA'!B76</f>
        <v>18238.57</v>
      </c>
      <c r="H14" s="42">
        <f>'RAČUN PRIHODA I RASHODA'!C76</f>
        <v>28600</v>
      </c>
      <c r="I14" s="42">
        <f>'RAČUN PRIHODA I RASHODA'!C77</f>
        <v>28600</v>
      </c>
      <c r="J14" s="42">
        <f>'RAČUN PRIHODA I RASHODA'!E76</f>
        <v>20070</v>
      </c>
      <c r="K14" s="42">
        <f>'RAČUN PRIHODA I RASHODA'!D77</f>
        <v>20070</v>
      </c>
      <c r="L14" s="42" t="e">
        <f>'RAČUN PRIHODA I RASHODA'!#REF!</f>
        <v>#REF!</v>
      </c>
      <c r="M14" s="42">
        <f>'RAČUN PRIHODA I RASHODA'!E77</f>
        <v>20070</v>
      </c>
      <c r="N14" s="42">
        <f>'RAČUN PRIHODA I RASHODA'!G76</f>
        <v>0</v>
      </c>
      <c r="O14" s="42">
        <f>'RAČUN PRIHODA I RASHODA'!F77</f>
        <v>20070</v>
      </c>
    </row>
    <row r="15" spans="1:15">
      <c r="A15" s="126" t="s">
        <v>184</v>
      </c>
      <c r="B15" s="127"/>
      <c r="C15" s="127"/>
      <c r="D15" s="127"/>
      <c r="E15" s="127"/>
      <c r="F15" s="37">
        <f>SUM(F9-F12)</f>
        <v>24522.270000000484</v>
      </c>
      <c r="G15" s="37">
        <f>SUM(G9-G12)</f>
        <v>19210.219999999972</v>
      </c>
      <c r="H15" s="37">
        <f t="shared" ref="H15:I15" si="2">SUM(H9-H12)</f>
        <v>0</v>
      </c>
      <c r="I15" s="37">
        <f t="shared" si="2"/>
        <v>0</v>
      </c>
      <c r="J15" s="37">
        <f t="shared" ref="J15:O15" si="3">SUM(J9-J12+J31)</f>
        <v>0</v>
      </c>
      <c r="K15" s="37">
        <f t="shared" si="3"/>
        <v>0</v>
      </c>
      <c r="L15" s="37" t="e">
        <f t="shared" si="3"/>
        <v>#REF!</v>
      </c>
      <c r="M15" s="37">
        <f t="shared" si="3"/>
        <v>0</v>
      </c>
      <c r="N15" s="37" t="e">
        <f t="shared" si="3"/>
        <v>#REF!</v>
      </c>
      <c r="O15" s="37">
        <f t="shared" si="3"/>
        <v>0</v>
      </c>
    </row>
    <row r="16" spans="1:15" ht="18">
      <c r="A16" s="24"/>
      <c r="B16" s="44"/>
      <c r="C16" s="44"/>
      <c r="D16" s="44"/>
      <c r="E16" s="44"/>
      <c r="F16" s="44"/>
      <c r="G16" s="44"/>
      <c r="H16" s="44"/>
      <c r="I16" s="44"/>
      <c r="J16" s="45"/>
      <c r="K16" s="45"/>
      <c r="L16" s="45"/>
      <c r="M16" s="45"/>
      <c r="N16" s="45"/>
      <c r="O16" s="45"/>
    </row>
    <row r="17" spans="1:15" ht="18" customHeight="1">
      <c r="A17" s="117" t="s">
        <v>194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</row>
    <row r="18" spans="1:15" ht="18">
      <c r="A18" s="24"/>
      <c r="B18" s="44"/>
      <c r="C18" s="44"/>
      <c r="D18" s="44"/>
      <c r="E18" s="44"/>
      <c r="F18" s="44"/>
      <c r="G18" s="44"/>
      <c r="H18" s="44"/>
      <c r="I18" s="44"/>
      <c r="J18" s="45"/>
      <c r="K18" s="45"/>
      <c r="L18" s="45"/>
      <c r="M18" s="45"/>
      <c r="N18" s="45"/>
      <c r="O18" s="45"/>
    </row>
    <row r="19" spans="1:15" ht="25.5" customHeight="1">
      <c r="A19" s="31"/>
      <c r="B19" s="32"/>
      <c r="C19" s="32"/>
      <c r="D19" s="33"/>
      <c r="E19" s="34"/>
      <c r="F19" s="119" t="s">
        <v>91</v>
      </c>
      <c r="G19" s="119"/>
      <c r="H19" s="120" t="s">
        <v>169</v>
      </c>
      <c r="I19" s="121"/>
      <c r="J19" s="120" t="s">
        <v>235</v>
      </c>
      <c r="K19" s="121"/>
      <c r="L19" s="120" t="s">
        <v>189</v>
      </c>
      <c r="M19" s="121"/>
      <c r="N19" s="120" t="s">
        <v>233</v>
      </c>
      <c r="O19" s="121"/>
    </row>
    <row r="20" spans="1:15">
      <c r="A20" s="31"/>
      <c r="B20" s="32"/>
      <c r="C20" s="32"/>
      <c r="D20" s="33"/>
      <c r="E20" s="34"/>
      <c r="F20" s="35" t="s">
        <v>190</v>
      </c>
      <c r="G20" s="35" t="s">
        <v>191</v>
      </c>
      <c r="H20" s="35" t="s">
        <v>190</v>
      </c>
      <c r="I20" s="35" t="s">
        <v>191</v>
      </c>
      <c r="J20" s="35" t="s">
        <v>190</v>
      </c>
      <c r="K20" s="35" t="s">
        <v>191</v>
      </c>
      <c r="L20" s="35" t="s">
        <v>190</v>
      </c>
      <c r="M20" s="35" t="s">
        <v>191</v>
      </c>
      <c r="N20" s="35" t="s">
        <v>190</v>
      </c>
      <c r="O20" s="36" t="s">
        <v>191</v>
      </c>
    </row>
    <row r="21" spans="1:15" ht="15.75" customHeight="1">
      <c r="A21" s="122" t="s">
        <v>195</v>
      </c>
      <c r="B21" s="123"/>
      <c r="C21" s="123"/>
      <c r="D21" s="123"/>
      <c r="E21" s="124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>
      <c r="A22" s="122" t="s">
        <v>186</v>
      </c>
      <c r="B22" s="125"/>
      <c r="C22" s="125"/>
      <c r="D22" s="125"/>
      <c r="E22" s="125"/>
      <c r="F22" s="43"/>
      <c r="G22" s="43"/>
      <c r="H22" s="43"/>
      <c r="I22" s="43"/>
      <c r="J22" s="43"/>
      <c r="K22" s="43"/>
      <c r="L22" s="43"/>
      <c r="M22" s="43"/>
      <c r="N22" s="43"/>
      <c r="O22" s="43"/>
    </row>
    <row r="23" spans="1:15">
      <c r="A23" s="126" t="s">
        <v>187</v>
      </c>
      <c r="B23" s="127"/>
      <c r="C23" s="127"/>
      <c r="D23" s="127"/>
      <c r="E23" s="127"/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</row>
    <row r="24" spans="1:15" ht="18">
      <c r="A24" s="46"/>
      <c r="B24" s="44"/>
      <c r="C24" s="44"/>
      <c r="D24" s="44"/>
      <c r="E24" s="44"/>
      <c r="F24" s="44"/>
      <c r="G24" s="44"/>
      <c r="H24" s="44"/>
      <c r="I24" s="44"/>
      <c r="J24" s="45"/>
      <c r="K24" s="45"/>
      <c r="L24" s="45"/>
      <c r="M24" s="45"/>
      <c r="N24" s="45"/>
      <c r="O24" s="45"/>
    </row>
    <row r="25" spans="1:15" ht="18" customHeight="1">
      <c r="A25" s="117" t="s">
        <v>196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15" ht="18">
      <c r="A26" s="46"/>
      <c r="B26" s="44"/>
      <c r="C26" s="44"/>
      <c r="D26" s="44"/>
      <c r="E26" s="44"/>
      <c r="F26" s="44"/>
      <c r="G26" s="44"/>
      <c r="H26" s="44"/>
      <c r="I26" s="44"/>
      <c r="J26" s="45"/>
      <c r="K26" s="45"/>
      <c r="L26" s="45"/>
      <c r="M26" s="45"/>
      <c r="N26" s="45"/>
      <c r="O26" s="45"/>
    </row>
    <row r="27" spans="1:15" ht="25.5" customHeight="1">
      <c r="A27" s="31"/>
      <c r="B27" s="32"/>
      <c r="C27" s="32"/>
      <c r="D27" s="33"/>
      <c r="E27" s="34"/>
      <c r="F27" s="119" t="s">
        <v>91</v>
      </c>
      <c r="G27" s="119"/>
      <c r="H27" s="120" t="s">
        <v>169</v>
      </c>
      <c r="I27" s="121"/>
      <c r="J27" s="120" t="s">
        <v>235</v>
      </c>
      <c r="K27" s="121"/>
      <c r="L27" s="120" t="s">
        <v>189</v>
      </c>
      <c r="M27" s="121"/>
      <c r="N27" s="120" t="s">
        <v>233</v>
      </c>
      <c r="O27" s="121"/>
    </row>
    <row r="28" spans="1:15">
      <c r="A28" s="31"/>
      <c r="B28" s="32"/>
      <c r="C28" s="32"/>
      <c r="D28" s="33"/>
      <c r="E28" s="34"/>
      <c r="F28" s="35" t="s">
        <v>190</v>
      </c>
      <c r="G28" s="35" t="s">
        <v>191</v>
      </c>
      <c r="H28" s="35" t="s">
        <v>190</v>
      </c>
      <c r="I28" s="35" t="s">
        <v>191</v>
      </c>
      <c r="J28" s="35" t="s">
        <v>190</v>
      </c>
      <c r="K28" s="35" t="s">
        <v>191</v>
      </c>
      <c r="L28" s="35" t="s">
        <v>190</v>
      </c>
      <c r="M28" s="35" t="s">
        <v>191</v>
      </c>
      <c r="N28" s="35" t="s">
        <v>190</v>
      </c>
      <c r="O28" s="36" t="s">
        <v>191</v>
      </c>
    </row>
    <row r="29" spans="1:15">
      <c r="A29" s="111" t="s">
        <v>197</v>
      </c>
      <c r="B29" s="112"/>
      <c r="C29" s="112"/>
      <c r="D29" s="112"/>
      <c r="E29" s="113"/>
      <c r="F29" s="47"/>
      <c r="G29" s="48">
        <v>-1901.72</v>
      </c>
      <c r="H29" s="47"/>
      <c r="I29" s="48">
        <v>17308.5</v>
      </c>
      <c r="J29" s="47"/>
      <c r="K29" s="47"/>
      <c r="L29" s="47"/>
      <c r="M29" s="47"/>
      <c r="N29" s="49"/>
      <c r="O29" s="50"/>
    </row>
    <row r="30" spans="1:15">
      <c r="A30" s="111" t="s">
        <v>198</v>
      </c>
      <c r="B30" s="112"/>
      <c r="C30" s="112"/>
      <c r="D30" s="112"/>
      <c r="E30" s="113"/>
      <c r="F30" s="47"/>
      <c r="G30" s="47"/>
      <c r="H30" s="47"/>
      <c r="I30" s="47"/>
      <c r="J30" s="47"/>
      <c r="K30" s="47"/>
      <c r="L30" s="47"/>
      <c r="M30" s="47"/>
      <c r="N30" s="49"/>
      <c r="O30" s="50"/>
    </row>
    <row r="31" spans="1:15" ht="42" customHeight="1">
      <c r="A31" s="114" t="s">
        <v>199</v>
      </c>
      <c r="B31" s="115"/>
      <c r="C31" s="115"/>
      <c r="D31" s="115"/>
      <c r="E31" s="116"/>
      <c r="F31" s="51">
        <v>-9953.7199999999993</v>
      </c>
      <c r="G31" s="90">
        <f>SUM(G15+G29)</f>
        <v>17308.499999999971</v>
      </c>
      <c r="H31" s="90"/>
      <c r="I31" s="90">
        <v>0</v>
      </c>
      <c r="J31" s="90">
        <f>+'[1] Račun prihoda i rashoda'!J36</f>
        <v>0</v>
      </c>
      <c r="K31" s="90">
        <f>+'[1] Račun prihoda i rashoda'!K36</f>
        <v>0</v>
      </c>
      <c r="L31" s="90">
        <f>+'[1] Račun prihoda i rashoda'!L36</f>
        <v>0</v>
      </c>
      <c r="M31" s="90">
        <f>+'[1] Račun prihoda i rashoda'!M36</f>
        <v>0</v>
      </c>
      <c r="N31" s="91">
        <f>+'[1] Račun prihoda i rashoda'!N36</f>
        <v>0</v>
      </c>
      <c r="O31" s="92">
        <f>+'[1] Račun prihoda i rashoda'!O36</f>
        <v>0</v>
      </c>
    </row>
    <row r="34" spans="1:15" ht="11.25" customHeight="1">
      <c r="A34" s="52"/>
      <c r="B34" s="53"/>
      <c r="C34" s="53"/>
      <c r="D34" s="53"/>
      <c r="E34" s="53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5" ht="29.25" customHeight="1">
      <c r="A35" s="109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</row>
    <row r="36" spans="1:15" ht="18" customHeight="1">
      <c r="A36" s="117" t="s">
        <v>200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</row>
    <row r="37" spans="1:15" ht="18">
      <c r="A37" s="46"/>
      <c r="B37" s="44"/>
      <c r="C37" s="44"/>
      <c r="D37" s="44"/>
      <c r="E37" s="44"/>
      <c r="F37" s="44"/>
      <c r="G37" s="44"/>
      <c r="H37" s="44"/>
      <c r="I37" s="44"/>
      <c r="J37" s="45"/>
      <c r="K37" s="45"/>
      <c r="L37" s="45"/>
      <c r="M37" s="45"/>
      <c r="N37" s="45"/>
      <c r="O37" s="45"/>
    </row>
    <row r="38" spans="1:15" ht="25.5" customHeight="1">
      <c r="A38" s="31"/>
      <c r="B38" s="32"/>
      <c r="C38" s="32"/>
      <c r="D38" s="33"/>
      <c r="E38" s="34"/>
      <c r="F38" s="119" t="s">
        <v>91</v>
      </c>
      <c r="G38" s="119"/>
      <c r="H38" s="120" t="s">
        <v>169</v>
      </c>
      <c r="I38" s="121"/>
      <c r="J38" s="120" t="s">
        <v>235</v>
      </c>
      <c r="K38" s="121"/>
      <c r="L38" s="120" t="s">
        <v>189</v>
      </c>
      <c r="M38" s="121"/>
      <c r="N38" s="120" t="s">
        <v>233</v>
      </c>
      <c r="O38" s="121"/>
    </row>
    <row r="39" spans="1:15">
      <c r="A39" s="31"/>
      <c r="B39" s="32"/>
      <c r="C39" s="32"/>
      <c r="D39" s="33"/>
      <c r="E39" s="34"/>
      <c r="F39" s="35" t="s">
        <v>190</v>
      </c>
      <c r="G39" s="35" t="s">
        <v>191</v>
      </c>
      <c r="H39" s="35" t="s">
        <v>190</v>
      </c>
      <c r="I39" s="35" t="s">
        <v>191</v>
      </c>
      <c r="J39" s="35" t="s">
        <v>190</v>
      </c>
      <c r="K39" s="35" t="s">
        <v>191</v>
      </c>
      <c r="L39" s="35" t="s">
        <v>190</v>
      </c>
      <c r="M39" s="35" t="s">
        <v>191</v>
      </c>
      <c r="N39" s="35" t="s">
        <v>190</v>
      </c>
      <c r="O39" s="36" t="s">
        <v>191</v>
      </c>
    </row>
    <row r="40" spans="1:15" ht="15" customHeight="1">
      <c r="A40" s="103" t="s">
        <v>201</v>
      </c>
      <c r="B40" s="104"/>
      <c r="C40" s="104"/>
      <c r="D40" s="104"/>
      <c r="E40" s="105"/>
      <c r="F40" s="55"/>
      <c r="G40" s="48">
        <v>-1901.72</v>
      </c>
      <c r="H40" s="55"/>
      <c r="I40" s="48">
        <v>17308.5</v>
      </c>
      <c r="J40" s="55"/>
      <c r="K40" s="55"/>
      <c r="L40" s="55"/>
      <c r="M40" s="55"/>
      <c r="N40" s="56"/>
      <c r="O40" s="57"/>
    </row>
    <row r="41" spans="1:15" ht="30" customHeight="1">
      <c r="A41" s="106" t="s">
        <v>202</v>
      </c>
      <c r="B41" s="107"/>
      <c r="C41" s="107"/>
      <c r="D41" s="107"/>
      <c r="E41" s="108"/>
      <c r="F41" s="58">
        <v>-9953.7199999999993</v>
      </c>
      <c r="G41" s="51">
        <v>-1901.72</v>
      </c>
      <c r="H41" s="58"/>
      <c r="I41" s="51">
        <v>17308.5</v>
      </c>
      <c r="J41" s="58">
        <f>+'[1] Račun prihoda i rashoda'!J47</f>
        <v>0</v>
      </c>
      <c r="K41" s="58">
        <v>0</v>
      </c>
      <c r="L41" s="58">
        <f>+'[1] Račun prihoda i rashoda'!L47</f>
        <v>0</v>
      </c>
      <c r="M41" s="58">
        <v>0</v>
      </c>
      <c r="N41" s="59">
        <f>+'[1] Račun prihoda i rashoda'!N47</f>
        <v>0</v>
      </c>
      <c r="O41" s="60">
        <v>0</v>
      </c>
    </row>
    <row r="42" spans="1:15" ht="15" customHeight="1">
      <c r="A42" s="103" t="s">
        <v>203</v>
      </c>
      <c r="B42" s="104"/>
      <c r="C42" s="104"/>
      <c r="D42" s="104"/>
      <c r="E42" s="105"/>
      <c r="F42" s="55"/>
      <c r="G42" s="48">
        <v>19210.22</v>
      </c>
      <c r="H42" s="55"/>
      <c r="I42" s="48">
        <v>-17308.5</v>
      </c>
      <c r="J42" s="55"/>
      <c r="K42" s="55">
        <v>0</v>
      </c>
      <c r="L42" s="55"/>
      <c r="M42" s="55">
        <v>0</v>
      </c>
      <c r="N42" s="56"/>
      <c r="O42" s="57">
        <v>0</v>
      </c>
    </row>
    <row r="43" spans="1:15" ht="15" customHeight="1">
      <c r="A43" s="103" t="s">
        <v>198</v>
      </c>
      <c r="B43" s="104"/>
      <c r="C43" s="104"/>
      <c r="D43" s="104"/>
      <c r="E43" s="105"/>
      <c r="F43" s="55"/>
      <c r="G43" s="48">
        <f>SUM(G41:G42)</f>
        <v>17308.5</v>
      </c>
      <c r="H43" s="55">
        <f t="shared" ref="H43" si="4">SUM(H41:H42)</f>
        <v>0</v>
      </c>
      <c r="I43" s="48">
        <f>SUM(I41:I42)</f>
        <v>0</v>
      </c>
      <c r="J43" s="55"/>
      <c r="K43" s="55">
        <v>0</v>
      </c>
      <c r="L43" s="55"/>
      <c r="M43" s="55">
        <v>0</v>
      </c>
      <c r="N43" s="56"/>
      <c r="O43" s="57">
        <v>0</v>
      </c>
    </row>
    <row r="45" spans="1:15" ht="8.25" customHeight="1"/>
    <row r="46" spans="1:15">
      <c r="A46" s="61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5" ht="8.25" customHeight="1"/>
    <row r="48" spans="1:15" ht="29.25" customHeight="1">
      <c r="A48" s="109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</row>
  </sheetData>
  <mergeCells count="44">
    <mergeCell ref="A11:E11"/>
    <mergeCell ref="A1:O1"/>
    <mergeCell ref="F7:G7"/>
    <mergeCell ref="H7:I7"/>
    <mergeCell ref="J7:K7"/>
    <mergeCell ref="L7:M7"/>
    <mergeCell ref="N7:O7"/>
    <mergeCell ref="A9:E9"/>
    <mergeCell ref="A10:E10"/>
    <mergeCell ref="A3:O3"/>
    <mergeCell ref="A5:O5"/>
    <mergeCell ref="A13:E13"/>
    <mergeCell ref="A14:E14"/>
    <mergeCell ref="A15:E15"/>
    <mergeCell ref="A17:N17"/>
    <mergeCell ref="F19:G19"/>
    <mergeCell ref="H19:I19"/>
    <mergeCell ref="J19:K19"/>
    <mergeCell ref="L19:M19"/>
    <mergeCell ref="N19:O19"/>
    <mergeCell ref="A21:E21"/>
    <mergeCell ref="A22:E22"/>
    <mergeCell ref="A23:E23"/>
    <mergeCell ref="A25:N25"/>
    <mergeCell ref="F27:G27"/>
    <mergeCell ref="H27:I27"/>
    <mergeCell ref="J27:K27"/>
    <mergeCell ref="L27:M27"/>
    <mergeCell ref="N27:O27"/>
    <mergeCell ref="F38:G38"/>
    <mergeCell ref="H38:I38"/>
    <mergeCell ref="J38:K38"/>
    <mergeCell ref="L38:M38"/>
    <mergeCell ref="N38:O38"/>
    <mergeCell ref="A29:E29"/>
    <mergeCell ref="A30:E30"/>
    <mergeCell ref="A31:E31"/>
    <mergeCell ref="A35:N35"/>
    <mergeCell ref="A36:N36"/>
    <mergeCell ref="A40:E40"/>
    <mergeCell ref="A41:E41"/>
    <mergeCell ref="A42:E42"/>
    <mergeCell ref="A43:E43"/>
    <mergeCell ref="A48:N48"/>
  </mergeCells>
  <pageMargins left="0.7" right="0.7" top="0.61" bottom="0.24" header="0.68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workbookViewId="0">
      <selection sqref="A1:F1"/>
    </sheetView>
  </sheetViews>
  <sheetFormatPr defaultRowHeight="12.75"/>
  <cols>
    <col min="1" max="1" width="75.42578125" style="18" customWidth="1"/>
    <col min="2" max="6" width="13" style="18" customWidth="1"/>
    <col min="7" max="7" width="17" style="18" customWidth="1"/>
    <col min="8" max="8" width="20.28515625" style="18" customWidth="1"/>
    <col min="9" max="9" width="17.7109375" style="18" customWidth="1"/>
    <col min="10" max="10" width="14.28515625" style="18" customWidth="1"/>
    <col min="11" max="254" width="9.140625" style="18"/>
    <col min="255" max="255" width="4.28515625" style="18" customWidth="1"/>
    <col min="256" max="256" width="4.42578125" style="18" customWidth="1"/>
    <col min="257" max="257" width="44.85546875" style="18" customWidth="1"/>
    <col min="258" max="258" width="13.7109375" style="18" customWidth="1"/>
    <col min="259" max="259" width="13.140625" style="18" customWidth="1"/>
    <col min="260" max="260" width="13.7109375" style="18" customWidth="1"/>
    <col min="261" max="262" width="9.5703125" style="18" customWidth="1"/>
    <col min="263" max="263" width="17" style="18" customWidth="1"/>
    <col min="264" max="264" width="20.28515625" style="18" customWidth="1"/>
    <col min="265" max="265" width="12.42578125" style="18" customWidth="1"/>
    <col min="266" max="510" width="9.140625" style="18"/>
    <col min="511" max="511" width="4.28515625" style="18" customWidth="1"/>
    <col min="512" max="512" width="4.42578125" style="18" customWidth="1"/>
    <col min="513" max="513" width="44.85546875" style="18" customWidth="1"/>
    <col min="514" max="514" width="13.7109375" style="18" customWidth="1"/>
    <col min="515" max="515" width="13.140625" style="18" customWidth="1"/>
    <col min="516" max="516" width="13.7109375" style="18" customWidth="1"/>
    <col min="517" max="518" width="9.5703125" style="18" customWidth="1"/>
    <col min="519" max="519" width="17" style="18" customWidth="1"/>
    <col min="520" max="520" width="20.28515625" style="18" customWidth="1"/>
    <col min="521" max="521" width="12.42578125" style="18" customWidth="1"/>
    <col min="522" max="766" width="9.140625" style="18"/>
    <col min="767" max="767" width="4.28515625" style="18" customWidth="1"/>
    <col min="768" max="768" width="4.42578125" style="18" customWidth="1"/>
    <col min="769" max="769" width="44.85546875" style="18" customWidth="1"/>
    <col min="770" max="770" width="13.7109375" style="18" customWidth="1"/>
    <col min="771" max="771" width="13.140625" style="18" customWidth="1"/>
    <col min="772" max="772" width="13.7109375" style="18" customWidth="1"/>
    <col min="773" max="774" width="9.5703125" style="18" customWidth="1"/>
    <col min="775" max="775" width="17" style="18" customWidth="1"/>
    <col min="776" max="776" width="20.28515625" style="18" customWidth="1"/>
    <col min="777" max="777" width="12.42578125" style="18" customWidth="1"/>
    <col min="778" max="1022" width="9.140625" style="18"/>
    <col min="1023" max="1023" width="4.28515625" style="18" customWidth="1"/>
    <col min="1024" max="1024" width="4.42578125" style="18" customWidth="1"/>
    <col min="1025" max="1025" width="44.85546875" style="18" customWidth="1"/>
    <col min="1026" max="1026" width="13.7109375" style="18" customWidth="1"/>
    <col min="1027" max="1027" width="13.140625" style="18" customWidth="1"/>
    <col min="1028" max="1028" width="13.7109375" style="18" customWidth="1"/>
    <col min="1029" max="1030" width="9.5703125" style="18" customWidth="1"/>
    <col min="1031" max="1031" width="17" style="18" customWidth="1"/>
    <col min="1032" max="1032" width="20.28515625" style="18" customWidth="1"/>
    <col min="1033" max="1033" width="12.42578125" style="18" customWidth="1"/>
    <col min="1034" max="1278" width="9.140625" style="18"/>
    <col min="1279" max="1279" width="4.28515625" style="18" customWidth="1"/>
    <col min="1280" max="1280" width="4.42578125" style="18" customWidth="1"/>
    <col min="1281" max="1281" width="44.85546875" style="18" customWidth="1"/>
    <col min="1282" max="1282" width="13.7109375" style="18" customWidth="1"/>
    <col min="1283" max="1283" width="13.140625" style="18" customWidth="1"/>
    <col min="1284" max="1284" width="13.7109375" style="18" customWidth="1"/>
    <col min="1285" max="1286" width="9.5703125" style="18" customWidth="1"/>
    <col min="1287" max="1287" width="17" style="18" customWidth="1"/>
    <col min="1288" max="1288" width="20.28515625" style="18" customWidth="1"/>
    <col min="1289" max="1289" width="12.42578125" style="18" customWidth="1"/>
    <col min="1290" max="1534" width="9.140625" style="18"/>
    <col min="1535" max="1535" width="4.28515625" style="18" customWidth="1"/>
    <col min="1536" max="1536" width="4.42578125" style="18" customWidth="1"/>
    <col min="1537" max="1537" width="44.85546875" style="18" customWidth="1"/>
    <col min="1538" max="1538" width="13.7109375" style="18" customWidth="1"/>
    <col min="1539" max="1539" width="13.140625" style="18" customWidth="1"/>
    <col min="1540" max="1540" width="13.7109375" style="18" customWidth="1"/>
    <col min="1541" max="1542" width="9.5703125" style="18" customWidth="1"/>
    <col min="1543" max="1543" width="17" style="18" customWidth="1"/>
    <col min="1544" max="1544" width="20.28515625" style="18" customWidth="1"/>
    <col min="1545" max="1545" width="12.42578125" style="18" customWidth="1"/>
    <col min="1546" max="1790" width="9.140625" style="18"/>
    <col min="1791" max="1791" width="4.28515625" style="18" customWidth="1"/>
    <col min="1792" max="1792" width="4.42578125" style="18" customWidth="1"/>
    <col min="1793" max="1793" width="44.85546875" style="18" customWidth="1"/>
    <col min="1794" max="1794" width="13.7109375" style="18" customWidth="1"/>
    <col min="1795" max="1795" width="13.140625" style="18" customWidth="1"/>
    <col min="1796" max="1796" width="13.7109375" style="18" customWidth="1"/>
    <col min="1797" max="1798" width="9.5703125" style="18" customWidth="1"/>
    <col min="1799" max="1799" width="17" style="18" customWidth="1"/>
    <col min="1800" max="1800" width="20.28515625" style="18" customWidth="1"/>
    <col min="1801" max="1801" width="12.42578125" style="18" customWidth="1"/>
    <col min="1802" max="2046" width="9.140625" style="18"/>
    <col min="2047" max="2047" width="4.28515625" style="18" customWidth="1"/>
    <col min="2048" max="2048" width="4.42578125" style="18" customWidth="1"/>
    <col min="2049" max="2049" width="44.85546875" style="18" customWidth="1"/>
    <col min="2050" max="2050" width="13.7109375" style="18" customWidth="1"/>
    <col min="2051" max="2051" width="13.140625" style="18" customWidth="1"/>
    <col min="2052" max="2052" width="13.7109375" style="18" customWidth="1"/>
    <col min="2053" max="2054" width="9.5703125" style="18" customWidth="1"/>
    <col min="2055" max="2055" width="17" style="18" customWidth="1"/>
    <col min="2056" max="2056" width="20.28515625" style="18" customWidth="1"/>
    <col min="2057" max="2057" width="12.42578125" style="18" customWidth="1"/>
    <col min="2058" max="2302" width="9.140625" style="18"/>
    <col min="2303" max="2303" width="4.28515625" style="18" customWidth="1"/>
    <col min="2304" max="2304" width="4.42578125" style="18" customWidth="1"/>
    <col min="2305" max="2305" width="44.85546875" style="18" customWidth="1"/>
    <col min="2306" max="2306" width="13.7109375" style="18" customWidth="1"/>
    <col min="2307" max="2307" width="13.140625" style="18" customWidth="1"/>
    <col min="2308" max="2308" width="13.7109375" style="18" customWidth="1"/>
    <col min="2309" max="2310" width="9.5703125" style="18" customWidth="1"/>
    <col min="2311" max="2311" width="17" style="18" customWidth="1"/>
    <col min="2312" max="2312" width="20.28515625" style="18" customWidth="1"/>
    <col min="2313" max="2313" width="12.42578125" style="18" customWidth="1"/>
    <col min="2314" max="2558" width="9.140625" style="18"/>
    <col min="2559" max="2559" width="4.28515625" style="18" customWidth="1"/>
    <col min="2560" max="2560" width="4.42578125" style="18" customWidth="1"/>
    <col min="2561" max="2561" width="44.85546875" style="18" customWidth="1"/>
    <col min="2562" max="2562" width="13.7109375" style="18" customWidth="1"/>
    <col min="2563" max="2563" width="13.140625" style="18" customWidth="1"/>
    <col min="2564" max="2564" width="13.7109375" style="18" customWidth="1"/>
    <col min="2565" max="2566" width="9.5703125" style="18" customWidth="1"/>
    <col min="2567" max="2567" width="17" style="18" customWidth="1"/>
    <col min="2568" max="2568" width="20.28515625" style="18" customWidth="1"/>
    <col min="2569" max="2569" width="12.42578125" style="18" customWidth="1"/>
    <col min="2570" max="2814" width="9.140625" style="18"/>
    <col min="2815" max="2815" width="4.28515625" style="18" customWidth="1"/>
    <col min="2816" max="2816" width="4.42578125" style="18" customWidth="1"/>
    <col min="2817" max="2817" width="44.85546875" style="18" customWidth="1"/>
    <col min="2818" max="2818" width="13.7109375" style="18" customWidth="1"/>
    <col min="2819" max="2819" width="13.140625" style="18" customWidth="1"/>
    <col min="2820" max="2820" width="13.7109375" style="18" customWidth="1"/>
    <col min="2821" max="2822" width="9.5703125" style="18" customWidth="1"/>
    <col min="2823" max="2823" width="17" style="18" customWidth="1"/>
    <col min="2824" max="2824" width="20.28515625" style="18" customWidth="1"/>
    <col min="2825" max="2825" width="12.42578125" style="18" customWidth="1"/>
    <col min="2826" max="3070" width="9.140625" style="18"/>
    <col min="3071" max="3071" width="4.28515625" style="18" customWidth="1"/>
    <col min="3072" max="3072" width="4.42578125" style="18" customWidth="1"/>
    <col min="3073" max="3073" width="44.85546875" style="18" customWidth="1"/>
    <col min="3074" max="3074" width="13.7109375" style="18" customWidth="1"/>
    <col min="3075" max="3075" width="13.140625" style="18" customWidth="1"/>
    <col min="3076" max="3076" width="13.7109375" style="18" customWidth="1"/>
    <col min="3077" max="3078" width="9.5703125" style="18" customWidth="1"/>
    <col min="3079" max="3079" width="17" style="18" customWidth="1"/>
    <col min="3080" max="3080" width="20.28515625" style="18" customWidth="1"/>
    <col min="3081" max="3081" width="12.42578125" style="18" customWidth="1"/>
    <col min="3082" max="3326" width="9.140625" style="18"/>
    <col min="3327" max="3327" width="4.28515625" style="18" customWidth="1"/>
    <col min="3328" max="3328" width="4.42578125" style="18" customWidth="1"/>
    <col min="3329" max="3329" width="44.85546875" style="18" customWidth="1"/>
    <col min="3330" max="3330" width="13.7109375" style="18" customWidth="1"/>
    <col min="3331" max="3331" width="13.140625" style="18" customWidth="1"/>
    <col min="3332" max="3332" width="13.7109375" style="18" customWidth="1"/>
    <col min="3333" max="3334" width="9.5703125" style="18" customWidth="1"/>
    <col min="3335" max="3335" width="17" style="18" customWidth="1"/>
    <col min="3336" max="3336" width="20.28515625" style="18" customWidth="1"/>
    <col min="3337" max="3337" width="12.42578125" style="18" customWidth="1"/>
    <col min="3338" max="3582" width="9.140625" style="18"/>
    <col min="3583" max="3583" width="4.28515625" style="18" customWidth="1"/>
    <col min="3584" max="3584" width="4.42578125" style="18" customWidth="1"/>
    <col min="3585" max="3585" width="44.85546875" style="18" customWidth="1"/>
    <col min="3586" max="3586" width="13.7109375" style="18" customWidth="1"/>
    <col min="3587" max="3587" width="13.140625" style="18" customWidth="1"/>
    <col min="3588" max="3588" width="13.7109375" style="18" customWidth="1"/>
    <col min="3589" max="3590" width="9.5703125" style="18" customWidth="1"/>
    <col min="3591" max="3591" width="17" style="18" customWidth="1"/>
    <col min="3592" max="3592" width="20.28515625" style="18" customWidth="1"/>
    <col min="3593" max="3593" width="12.42578125" style="18" customWidth="1"/>
    <col min="3594" max="3838" width="9.140625" style="18"/>
    <col min="3839" max="3839" width="4.28515625" style="18" customWidth="1"/>
    <col min="3840" max="3840" width="4.42578125" style="18" customWidth="1"/>
    <col min="3841" max="3841" width="44.85546875" style="18" customWidth="1"/>
    <col min="3842" max="3842" width="13.7109375" style="18" customWidth="1"/>
    <col min="3843" max="3843" width="13.140625" style="18" customWidth="1"/>
    <col min="3844" max="3844" width="13.7109375" style="18" customWidth="1"/>
    <col min="3845" max="3846" width="9.5703125" style="18" customWidth="1"/>
    <col min="3847" max="3847" width="17" style="18" customWidth="1"/>
    <col min="3848" max="3848" width="20.28515625" style="18" customWidth="1"/>
    <col min="3849" max="3849" width="12.42578125" style="18" customWidth="1"/>
    <col min="3850" max="4094" width="9.140625" style="18"/>
    <col min="4095" max="4095" width="4.28515625" style="18" customWidth="1"/>
    <col min="4096" max="4096" width="4.42578125" style="18" customWidth="1"/>
    <col min="4097" max="4097" width="44.85546875" style="18" customWidth="1"/>
    <col min="4098" max="4098" width="13.7109375" style="18" customWidth="1"/>
    <col min="4099" max="4099" width="13.140625" style="18" customWidth="1"/>
    <col min="4100" max="4100" width="13.7109375" style="18" customWidth="1"/>
    <col min="4101" max="4102" width="9.5703125" style="18" customWidth="1"/>
    <col min="4103" max="4103" width="17" style="18" customWidth="1"/>
    <col min="4104" max="4104" width="20.28515625" style="18" customWidth="1"/>
    <col min="4105" max="4105" width="12.42578125" style="18" customWidth="1"/>
    <col min="4106" max="4350" width="9.140625" style="18"/>
    <col min="4351" max="4351" width="4.28515625" style="18" customWidth="1"/>
    <col min="4352" max="4352" width="4.42578125" style="18" customWidth="1"/>
    <col min="4353" max="4353" width="44.85546875" style="18" customWidth="1"/>
    <col min="4354" max="4354" width="13.7109375" style="18" customWidth="1"/>
    <col min="4355" max="4355" width="13.140625" style="18" customWidth="1"/>
    <col min="4356" max="4356" width="13.7109375" style="18" customWidth="1"/>
    <col min="4357" max="4358" width="9.5703125" style="18" customWidth="1"/>
    <col min="4359" max="4359" width="17" style="18" customWidth="1"/>
    <col min="4360" max="4360" width="20.28515625" style="18" customWidth="1"/>
    <col min="4361" max="4361" width="12.42578125" style="18" customWidth="1"/>
    <col min="4362" max="4606" width="9.140625" style="18"/>
    <col min="4607" max="4607" width="4.28515625" style="18" customWidth="1"/>
    <col min="4608" max="4608" width="4.42578125" style="18" customWidth="1"/>
    <col min="4609" max="4609" width="44.85546875" style="18" customWidth="1"/>
    <col min="4610" max="4610" width="13.7109375" style="18" customWidth="1"/>
    <col min="4611" max="4611" width="13.140625" style="18" customWidth="1"/>
    <col min="4612" max="4612" width="13.7109375" style="18" customWidth="1"/>
    <col min="4613" max="4614" width="9.5703125" style="18" customWidth="1"/>
    <col min="4615" max="4615" width="17" style="18" customWidth="1"/>
    <col min="4616" max="4616" width="20.28515625" style="18" customWidth="1"/>
    <col min="4617" max="4617" width="12.42578125" style="18" customWidth="1"/>
    <col min="4618" max="4862" width="9.140625" style="18"/>
    <col min="4863" max="4863" width="4.28515625" style="18" customWidth="1"/>
    <col min="4864" max="4864" width="4.42578125" style="18" customWidth="1"/>
    <col min="4865" max="4865" width="44.85546875" style="18" customWidth="1"/>
    <col min="4866" max="4866" width="13.7109375" style="18" customWidth="1"/>
    <col min="4867" max="4867" width="13.140625" style="18" customWidth="1"/>
    <col min="4868" max="4868" width="13.7109375" style="18" customWidth="1"/>
    <col min="4869" max="4870" width="9.5703125" style="18" customWidth="1"/>
    <col min="4871" max="4871" width="17" style="18" customWidth="1"/>
    <col min="4872" max="4872" width="20.28515625" style="18" customWidth="1"/>
    <col min="4873" max="4873" width="12.42578125" style="18" customWidth="1"/>
    <col min="4874" max="5118" width="9.140625" style="18"/>
    <col min="5119" max="5119" width="4.28515625" style="18" customWidth="1"/>
    <col min="5120" max="5120" width="4.42578125" style="18" customWidth="1"/>
    <col min="5121" max="5121" width="44.85546875" style="18" customWidth="1"/>
    <col min="5122" max="5122" width="13.7109375" style="18" customWidth="1"/>
    <col min="5123" max="5123" width="13.140625" style="18" customWidth="1"/>
    <col min="5124" max="5124" width="13.7109375" style="18" customWidth="1"/>
    <col min="5125" max="5126" width="9.5703125" style="18" customWidth="1"/>
    <col min="5127" max="5127" width="17" style="18" customWidth="1"/>
    <col min="5128" max="5128" width="20.28515625" style="18" customWidth="1"/>
    <col min="5129" max="5129" width="12.42578125" style="18" customWidth="1"/>
    <col min="5130" max="5374" width="9.140625" style="18"/>
    <col min="5375" max="5375" width="4.28515625" style="18" customWidth="1"/>
    <col min="5376" max="5376" width="4.42578125" style="18" customWidth="1"/>
    <col min="5377" max="5377" width="44.85546875" style="18" customWidth="1"/>
    <col min="5378" max="5378" width="13.7109375" style="18" customWidth="1"/>
    <col min="5379" max="5379" width="13.140625" style="18" customWidth="1"/>
    <col min="5380" max="5380" width="13.7109375" style="18" customWidth="1"/>
    <col min="5381" max="5382" width="9.5703125" style="18" customWidth="1"/>
    <col min="5383" max="5383" width="17" style="18" customWidth="1"/>
    <col min="5384" max="5384" width="20.28515625" style="18" customWidth="1"/>
    <col min="5385" max="5385" width="12.42578125" style="18" customWidth="1"/>
    <col min="5386" max="5630" width="9.140625" style="18"/>
    <col min="5631" max="5631" width="4.28515625" style="18" customWidth="1"/>
    <col min="5632" max="5632" width="4.42578125" style="18" customWidth="1"/>
    <col min="5633" max="5633" width="44.85546875" style="18" customWidth="1"/>
    <col min="5634" max="5634" width="13.7109375" style="18" customWidth="1"/>
    <col min="5635" max="5635" width="13.140625" style="18" customWidth="1"/>
    <col min="5636" max="5636" width="13.7109375" style="18" customWidth="1"/>
    <col min="5637" max="5638" width="9.5703125" style="18" customWidth="1"/>
    <col min="5639" max="5639" width="17" style="18" customWidth="1"/>
    <col min="5640" max="5640" width="20.28515625" style="18" customWidth="1"/>
    <col min="5641" max="5641" width="12.42578125" style="18" customWidth="1"/>
    <col min="5642" max="5886" width="9.140625" style="18"/>
    <col min="5887" max="5887" width="4.28515625" style="18" customWidth="1"/>
    <col min="5888" max="5888" width="4.42578125" style="18" customWidth="1"/>
    <col min="5889" max="5889" width="44.85546875" style="18" customWidth="1"/>
    <col min="5890" max="5890" width="13.7109375" style="18" customWidth="1"/>
    <col min="5891" max="5891" width="13.140625" style="18" customWidth="1"/>
    <col min="5892" max="5892" width="13.7109375" style="18" customWidth="1"/>
    <col min="5893" max="5894" width="9.5703125" style="18" customWidth="1"/>
    <col min="5895" max="5895" width="17" style="18" customWidth="1"/>
    <col min="5896" max="5896" width="20.28515625" style="18" customWidth="1"/>
    <col min="5897" max="5897" width="12.42578125" style="18" customWidth="1"/>
    <col min="5898" max="6142" width="9.140625" style="18"/>
    <col min="6143" max="6143" width="4.28515625" style="18" customWidth="1"/>
    <col min="6144" max="6144" width="4.42578125" style="18" customWidth="1"/>
    <col min="6145" max="6145" width="44.85546875" style="18" customWidth="1"/>
    <col min="6146" max="6146" width="13.7109375" style="18" customWidth="1"/>
    <col min="6147" max="6147" width="13.140625" style="18" customWidth="1"/>
    <col min="6148" max="6148" width="13.7109375" style="18" customWidth="1"/>
    <col min="6149" max="6150" width="9.5703125" style="18" customWidth="1"/>
    <col min="6151" max="6151" width="17" style="18" customWidth="1"/>
    <col min="6152" max="6152" width="20.28515625" style="18" customWidth="1"/>
    <col min="6153" max="6153" width="12.42578125" style="18" customWidth="1"/>
    <col min="6154" max="6398" width="9.140625" style="18"/>
    <col min="6399" max="6399" width="4.28515625" style="18" customWidth="1"/>
    <col min="6400" max="6400" width="4.42578125" style="18" customWidth="1"/>
    <col min="6401" max="6401" width="44.85546875" style="18" customWidth="1"/>
    <col min="6402" max="6402" width="13.7109375" style="18" customWidth="1"/>
    <col min="6403" max="6403" width="13.140625" style="18" customWidth="1"/>
    <col min="6404" max="6404" width="13.7109375" style="18" customWidth="1"/>
    <col min="6405" max="6406" width="9.5703125" style="18" customWidth="1"/>
    <col min="6407" max="6407" width="17" style="18" customWidth="1"/>
    <col min="6408" max="6408" width="20.28515625" style="18" customWidth="1"/>
    <col min="6409" max="6409" width="12.42578125" style="18" customWidth="1"/>
    <col min="6410" max="6654" width="9.140625" style="18"/>
    <col min="6655" max="6655" width="4.28515625" style="18" customWidth="1"/>
    <col min="6656" max="6656" width="4.42578125" style="18" customWidth="1"/>
    <col min="6657" max="6657" width="44.85546875" style="18" customWidth="1"/>
    <col min="6658" max="6658" width="13.7109375" style="18" customWidth="1"/>
    <col min="6659" max="6659" width="13.140625" style="18" customWidth="1"/>
    <col min="6660" max="6660" width="13.7109375" style="18" customWidth="1"/>
    <col min="6661" max="6662" width="9.5703125" style="18" customWidth="1"/>
    <col min="6663" max="6663" width="17" style="18" customWidth="1"/>
    <col min="6664" max="6664" width="20.28515625" style="18" customWidth="1"/>
    <col min="6665" max="6665" width="12.42578125" style="18" customWidth="1"/>
    <col min="6666" max="6910" width="9.140625" style="18"/>
    <col min="6911" max="6911" width="4.28515625" style="18" customWidth="1"/>
    <col min="6912" max="6912" width="4.42578125" style="18" customWidth="1"/>
    <col min="6913" max="6913" width="44.85546875" style="18" customWidth="1"/>
    <col min="6914" max="6914" width="13.7109375" style="18" customWidth="1"/>
    <col min="6915" max="6915" width="13.140625" style="18" customWidth="1"/>
    <col min="6916" max="6916" width="13.7109375" style="18" customWidth="1"/>
    <col min="6917" max="6918" width="9.5703125" style="18" customWidth="1"/>
    <col min="6919" max="6919" width="17" style="18" customWidth="1"/>
    <col min="6920" max="6920" width="20.28515625" style="18" customWidth="1"/>
    <col min="6921" max="6921" width="12.42578125" style="18" customWidth="1"/>
    <col min="6922" max="7166" width="9.140625" style="18"/>
    <col min="7167" max="7167" width="4.28515625" style="18" customWidth="1"/>
    <col min="7168" max="7168" width="4.42578125" style="18" customWidth="1"/>
    <col min="7169" max="7169" width="44.85546875" style="18" customWidth="1"/>
    <col min="7170" max="7170" width="13.7109375" style="18" customWidth="1"/>
    <col min="7171" max="7171" width="13.140625" style="18" customWidth="1"/>
    <col min="7172" max="7172" width="13.7109375" style="18" customWidth="1"/>
    <col min="7173" max="7174" width="9.5703125" style="18" customWidth="1"/>
    <col min="7175" max="7175" width="17" style="18" customWidth="1"/>
    <col min="7176" max="7176" width="20.28515625" style="18" customWidth="1"/>
    <col min="7177" max="7177" width="12.42578125" style="18" customWidth="1"/>
    <col min="7178" max="7422" width="9.140625" style="18"/>
    <col min="7423" max="7423" width="4.28515625" style="18" customWidth="1"/>
    <col min="7424" max="7424" width="4.42578125" style="18" customWidth="1"/>
    <col min="7425" max="7425" width="44.85546875" style="18" customWidth="1"/>
    <col min="7426" max="7426" width="13.7109375" style="18" customWidth="1"/>
    <col min="7427" max="7427" width="13.140625" style="18" customWidth="1"/>
    <col min="7428" max="7428" width="13.7109375" style="18" customWidth="1"/>
    <col min="7429" max="7430" width="9.5703125" style="18" customWidth="1"/>
    <col min="7431" max="7431" width="17" style="18" customWidth="1"/>
    <col min="7432" max="7432" width="20.28515625" style="18" customWidth="1"/>
    <col min="7433" max="7433" width="12.42578125" style="18" customWidth="1"/>
    <col min="7434" max="7678" width="9.140625" style="18"/>
    <col min="7679" max="7679" width="4.28515625" style="18" customWidth="1"/>
    <col min="7680" max="7680" width="4.42578125" style="18" customWidth="1"/>
    <col min="7681" max="7681" width="44.85546875" style="18" customWidth="1"/>
    <col min="7682" max="7682" width="13.7109375" style="18" customWidth="1"/>
    <col min="7683" max="7683" width="13.140625" style="18" customWidth="1"/>
    <col min="7684" max="7684" width="13.7109375" style="18" customWidth="1"/>
    <col min="7685" max="7686" width="9.5703125" style="18" customWidth="1"/>
    <col min="7687" max="7687" width="17" style="18" customWidth="1"/>
    <col min="7688" max="7688" width="20.28515625" style="18" customWidth="1"/>
    <col min="7689" max="7689" width="12.42578125" style="18" customWidth="1"/>
    <col min="7690" max="7934" width="9.140625" style="18"/>
    <col min="7935" max="7935" width="4.28515625" style="18" customWidth="1"/>
    <col min="7936" max="7936" width="4.42578125" style="18" customWidth="1"/>
    <col min="7937" max="7937" width="44.85546875" style="18" customWidth="1"/>
    <col min="7938" max="7938" width="13.7109375" style="18" customWidth="1"/>
    <col min="7939" max="7939" width="13.140625" style="18" customWidth="1"/>
    <col min="7940" max="7940" width="13.7109375" style="18" customWidth="1"/>
    <col min="7941" max="7942" width="9.5703125" style="18" customWidth="1"/>
    <col min="7943" max="7943" width="17" style="18" customWidth="1"/>
    <col min="7944" max="7944" width="20.28515625" style="18" customWidth="1"/>
    <col min="7945" max="7945" width="12.42578125" style="18" customWidth="1"/>
    <col min="7946" max="8190" width="9.140625" style="18"/>
    <col min="8191" max="8191" width="4.28515625" style="18" customWidth="1"/>
    <col min="8192" max="8192" width="4.42578125" style="18" customWidth="1"/>
    <col min="8193" max="8193" width="44.85546875" style="18" customWidth="1"/>
    <col min="8194" max="8194" width="13.7109375" style="18" customWidth="1"/>
    <col min="8195" max="8195" width="13.140625" style="18" customWidth="1"/>
    <col min="8196" max="8196" width="13.7109375" style="18" customWidth="1"/>
    <col min="8197" max="8198" width="9.5703125" style="18" customWidth="1"/>
    <col min="8199" max="8199" width="17" style="18" customWidth="1"/>
    <col min="8200" max="8200" width="20.28515625" style="18" customWidth="1"/>
    <col min="8201" max="8201" width="12.42578125" style="18" customWidth="1"/>
    <col min="8202" max="8446" width="9.140625" style="18"/>
    <col min="8447" max="8447" width="4.28515625" style="18" customWidth="1"/>
    <col min="8448" max="8448" width="4.42578125" style="18" customWidth="1"/>
    <col min="8449" max="8449" width="44.85546875" style="18" customWidth="1"/>
    <col min="8450" max="8450" width="13.7109375" style="18" customWidth="1"/>
    <col min="8451" max="8451" width="13.140625" style="18" customWidth="1"/>
    <col min="8452" max="8452" width="13.7109375" style="18" customWidth="1"/>
    <col min="8453" max="8454" width="9.5703125" style="18" customWidth="1"/>
    <col min="8455" max="8455" width="17" style="18" customWidth="1"/>
    <col min="8456" max="8456" width="20.28515625" style="18" customWidth="1"/>
    <col min="8457" max="8457" width="12.42578125" style="18" customWidth="1"/>
    <col min="8458" max="8702" width="9.140625" style="18"/>
    <col min="8703" max="8703" width="4.28515625" style="18" customWidth="1"/>
    <col min="8704" max="8704" width="4.42578125" style="18" customWidth="1"/>
    <col min="8705" max="8705" width="44.85546875" style="18" customWidth="1"/>
    <col min="8706" max="8706" width="13.7109375" style="18" customWidth="1"/>
    <col min="8707" max="8707" width="13.140625" style="18" customWidth="1"/>
    <col min="8708" max="8708" width="13.7109375" style="18" customWidth="1"/>
    <col min="8709" max="8710" width="9.5703125" style="18" customWidth="1"/>
    <col min="8711" max="8711" width="17" style="18" customWidth="1"/>
    <col min="8712" max="8712" width="20.28515625" style="18" customWidth="1"/>
    <col min="8713" max="8713" width="12.42578125" style="18" customWidth="1"/>
    <col min="8714" max="8958" width="9.140625" style="18"/>
    <col min="8959" max="8959" width="4.28515625" style="18" customWidth="1"/>
    <col min="8960" max="8960" width="4.42578125" style="18" customWidth="1"/>
    <col min="8961" max="8961" width="44.85546875" style="18" customWidth="1"/>
    <col min="8962" max="8962" width="13.7109375" style="18" customWidth="1"/>
    <col min="8963" max="8963" width="13.140625" style="18" customWidth="1"/>
    <col min="8964" max="8964" width="13.7109375" style="18" customWidth="1"/>
    <col min="8965" max="8966" width="9.5703125" style="18" customWidth="1"/>
    <col min="8967" max="8967" width="17" style="18" customWidth="1"/>
    <col min="8968" max="8968" width="20.28515625" style="18" customWidth="1"/>
    <col min="8969" max="8969" width="12.42578125" style="18" customWidth="1"/>
    <col min="8970" max="9214" width="9.140625" style="18"/>
    <col min="9215" max="9215" width="4.28515625" style="18" customWidth="1"/>
    <col min="9216" max="9216" width="4.42578125" style="18" customWidth="1"/>
    <col min="9217" max="9217" width="44.85546875" style="18" customWidth="1"/>
    <col min="9218" max="9218" width="13.7109375" style="18" customWidth="1"/>
    <col min="9219" max="9219" width="13.140625" style="18" customWidth="1"/>
    <col min="9220" max="9220" width="13.7109375" style="18" customWidth="1"/>
    <col min="9221" max="9222" width="9.5703125" style="18" customWidth="1"/>
    <col min="9223" max="9223" width="17" style="18" customWidth="1"/>
    <col min="9224" max="9224" width="20.28515625" style="18" customWidth="1"/>
    <col min="9225" max="9225" width="12.42578125" style="18" customWidth="1"/>
    <col min="9226" max="9470" width="9.140625" style="18"/>
    <col min="9471" max="9471" width="4.28515625" style="18" customWidth="1"/>
    <col min="9472" max="9472" width="4.42578125" style="18" customWidth="1"/>
    <col min="9473" max="9473" width="44.85546875" style="18" customWidth="1"/>
    <col min="9474" max="9474" width="13.7109375" style="18" customWidth="1"/>
    <col min="9475" max="9475" width="13.140625" style="18" customWidth="1"/>
    <col min="9476" max="9476" width="13.7109375" style="18" customWidth="1"/>
    <col min="9477" max="9478" width="9.5703125" style="18" customWidth="1"/>
    <col min="9479" max="9479" width="17" style="18" customWidth="1"/>
    <col min="9480" max="9480" width="20.28515625" style="18" customWidth="1"/>
    <col min="9481" max="9481" width="12.42578125" style="18" customWidth="1"/>
    <col min="9482" max="9726" width="9.140625" style="18"/>
    <col min="9727" max="9727" width="4.28515625" style="18" customWidth="1"/>
    <col min="9728" max="9728" width="4.42578125" style="18" customWidth="1"/>
    <col min="9729" max="9729" width="44.85546875" style="18" customWidth="1"/>
    <col min="9730" max="9730" width="13.7109375" style="18" customWidth="1"/>
    <col min="9731" max="9731" width="13.140625" style="18" customWidth="1"/>
    <col min="9732" max="9732" width="13.7109375" style="18" customWidth="1"/>
    <col min="9733" max="9734" width="9.5703125" style="18" customWidth="1"/>
    <col min="9735" max="9735" width="17" style="18" customWidth="1"/>
    <col min="9736" max="9736" width="20.28515625" style="18" customWidth="1"/>
    <col min="9737" max="9737" width="12.42578125" style="18" customWidth="1"/>
    <col min="9738" max="9982" width="9.140625" style="18"/>
    <col min="9983" max="9983" width="4.28515625" style="18" customWidth="1"/>
    <col min="9984" max="9984" width="4.42578125" style="18" customWidth="1"/>
    <col min="9985" max="9985" width="44.85546875" style="18" customWidth="1"/>
    <col min="9986" max="9986" width="13.7109375" style="18" customWidth="1"/>
    <col min="9987" max="9987" width="13.140625" style="18" customWidth="1"/>
    <col min="9988" max="9988" width="13.7109375" style="18" customWidth="1"/>
    <col min="9989" max="9990" width="9.5703125" style="18" customWidth="1"/>
    <col min="9991" max="9991" width="17" style="18" customWidth="1"/>
    <col min="9992" max="9992" width="20.28515625" style="18" customWidth="1"/>
    <col min="9993" max="9993" width="12.42578125" style="18" customWidth="1"/>
    <col min="9994" max="10238" width="9.140625" style="18"/>
    <col min="10239" max="10239" width="4.28515625" style="18" customWidth="1"/>
    <col min="10240" max="10240" width="4.42578125" style="18" customWidth="1"/>
    <col min="10241" max="10241" width="44.85546875" style="18" customWidth="1"/>
    <col min="10242" max="10242" width="13.7109375" style="18" customWidth="1"/>
    <col min="10243" max="10243" width="13.140625" style="18" customWidth="1"/>
    <col min="10244" max="10244" width="13.7109375" style="18" customWidth="1"/>
    <col min="10245" max="10246" width="9.5703125" style="18" customWidth="1"/>
    <col min="10247" max="10247" width="17" style="18" customWidth="1"/>
    <col min="10248" max="10248" width="20.28515625" style="18" customWidth="1"/>
    <col min="10249" max="10249" width="12.42578125" style="18" customWidth="1"/>
    <col min="10250" max="10494" width="9.140625" style="18"/>
    <col min="10495" max="10495" width="4.28515625" style="18" customWidth="1"/>
    <col min="10496" max="10496" width="4.42578125" style="18" customWidth="1"/>
    <col min="10497" max="10497" width="44.85546875" style="18" customWidth="1"/>
    <col min="10498" max="10498" width="13.7109375" style="18" customWidth="1"/>
    <col min="10499" max="10499" width="13.140625" style="18" customWidth="1"/>
    <col min="10500" max="10500" width="13.7109375" style="18" customWidth="1"/>
    <col min="10501" max="10502" width="9.5703125" style="18" customWidth="1"/>
    <col min="10503" max="10503" width="17" style="18" customWidth="1"/>
    <col min="10504" max="10504" width="20.28515625" style="18" customWidth="1"/>
    <col min="10505" max="10505" width="12.42578125" style="18" customWidth="1"/>
    <col min="10506" max="10750" width="9.140625" style="18"/>
    <col min="10751" max="10751" width="4.28515625" style="18" customWidth="1"/>
    <col min="10752" max="10752" width="4.42578125" style="18" customWidth="1"/>
    <col min="10753" max="10753" width="44.85546875" style="18" customWidth="1"/>
    <col min="10754" max="10754" width="13.7109375" style="18" customWidth="1"/>
    <col min="10755" max="10755" width="13.140625" style="18" customWidth="1"/>
    <col min="10756" max="10756" width="13.7109375" style="18" customWidth="1"/>
    <col min="10757" max="10758" width="9.5703125" style="18" customWidth="1"/>
    <col min="10759" max="10759" width="17" style="18" customWidth="1"/>
    <col min="10760" max="10760" width="20.28515625" style="18" customWidth="1"/>
    <col min="10761" max="10761" width="12.42578125" style="18" customWidth="1"/>
    <col min="10762" max="11006" width="9.140625" style="18"/>
    <col min="11007" max="11007" width="4.28515625" style="18" customWidth="1"/>
    <col min="11008" max="11008" width="4.42578125" style="18" customWidth="1"/>
    <col min="11009" max="11009" width="44.85546875" style="18" customWidth="1"/>
    <col min="11010" max="11010" width="13.7109375" style="18" customWidth="1"/>
    <col min="11011" max="11011" width="13.140625" style="18" customWidth="1"/>
    <col min="11012" max="11012" width="13.7109375" style="18" customWidth="1"/>
    <col min="11013" max="11014" width="9.5703125" style="18" customWidth="1"/>
    <col min="11015" max="11015" width="17" style="18" customWidth="1"/>
    <col min="11016" max="11016" width="20.28515625" style="18" customWidth="1"/>
    <col min="11017" max="11017" width="12.42578125" style="18" customWidth="1"/>
    <col min="11018" max="11262" width="9.140625" style="18"/>
    <col min="11263" max="11263" width="4.28515625" style="18" customWidth="1"/>
    <col min="11264" max="11264" width="4.42578125" style="18" customWidth="1"/>
    <col min="11265" max="11265" width="44.85546875" style="18" customWidth="1"/>
    <col min="11266" max="11266" width="13.7109375" style="18" customWidth="1"/>
    <col min="11267" max="11267" width="13.140625" style="18" customWidth="1"/>
    <col min="11268" max="11268" width="13.7109375" style="18" customWidth="1"/>
    <col min="11269" max="11270" width="9.5703125" style="18" customWidth="1"/>
    <col min="11271" max="11271" width="17" style="18" customWidth="1"/>
    <col min="11272" max="11272" width="20.28515625" style="18" customWidth="1"/>
    <col min="11273" max="11273" width="12.42578125" style="18" customWidth="1"/>
    <col min="11274" max="11518" width="9.140625" style="18"/>
    <col min="11519" max="11519" width="4.28515625" style="18" customWidth="1"/>
    <col min="11520" max="11520" width="4.42578125" style="18" customWidth="1"/>
    <col min="11521" max="11521" width="44.85546875" style="18" customWidth="1"/>
    <col min="11522" max="11522" width="13.7109375" style="18" customWidth="1"/>
    <col min="11523" max="11523" width="13.140625" style="18" customWidth="1"/>
    <col min="11524" max="11524" width="13.7109375" style="18" customWidth="1"/>
    <col min="11525" max="11526" width="9.5703125" style="18" customWidth="1"/>
    <col min="11527" max="11527" width="17" style="18" customWidth="1"/>
    <col min="11528" max="11528" width="20.28515625" style="18" customWidth="1"/>
    <col min="11529" max="11529" width="12.42578125" style="18" customWidth="1"/>
    <col min="11530" max="11774" width="9.140625" style="18"/>
    <col min="11775" max="11775" width="4.28515625" style="18" customWidth="1"/>
    <col min="11776" max="11776" width="4.42578125" style="18" customWidth="1"/>
    <col min="11777" max="11777" width="44.85546875" style="18" customWidth="1"/>
    <col min="11778" max="11778" width="13.7109375" style="18" customWidth="1"/>
    <col min="11779" max="11779" width="13.140625" style="18" customWidth="1"/>
    <col min="11780" max="11780" width="13.7109375" style="18" customWidth="1"/>
    <col min="11781" max="11782" width="9.5703125" style="18" customWidth="1"/>
    <col min="11783" max="11783" width="17" style="18" customWidth="1"/>
    <col min="11784" max="11784" width="20.28515625" style="18" customWidth="1"/>
    <col min="11785" max="11785" width="12.42578125" style="18" customWidth="1"/>
    <col min="11786" max="12030" width="9.140625" style="18"/>
    <col min="12031" max="12031" width="4.28515625" style="18" customWidth="1"/>
    <col min="12032" max="12032" width="4.42578125" style="18" customWidth="1"/>
    <col min="12033" max="12033" width="44.85546875" style="18" customWidth="1"/>
    <col min="12034" max="12034" width="13.7109375" style="18" customWidth="1"/>
    <col min="12035" max="12035" width="13.140625" style="18" customWidth="1"/>
    <col min="12036" max="12036" width="13.7109375" style="18" customWidth="1"/>
    <col min="12037" max="12038" width="9.5703125" style="18" customWidth="1"/>
    <col min="12039" max="12039" width="17" style="18" customWidth="1"/>
    <col min="12040" max="12040" width="20.28515625" style="18" customWidth="1"/>
    <col min="12041" max="12041" width="12.42578125" style="18" customWidth="1"/>
    <col min="12042" max="12286" width="9.140625" style="18"/>
    <col min="12287" max="12287" width="4.28515625" style="18" customWidth="1"/>
    <col min="12288" max="12288" width="4.42578125" style="18" customWidth="1"/>
    <col min="12289" max="12289" width="44.85546875" style="18" customWidth="1"/>
    <col min="12290" max="12290" width="13.7109375" style="18" customWidth="1"/>
    <col min="12291" max="12291" width="13.140625" style="18" customWidth="1"/>
    <col min="12292" max="12292" width="13.7109375" style="18" customWidth="1"/>
    <col min="12293" max="12294" width="9.5703125" style="18" customWidth="1"/>
    <col min="12295" max="12295" width="17" style="18" customWidth="1"/>
    <col min="12296" max="12296" width="20.28515625" style="18" customWidth="1"/>
    <col min="12297" max="12297" width="12.42578125" style="18" customWidth="1"/>
    <col min="12298" max="12542" width="9.140625" style="18"/>
    <col min="12543" max="12543" width="4.28515625" style="18" customWidth="1"/>
    <col min="12544" max="12544" width="4.42578125" style="18" customWidth="1"/>
    <col min="12545" max="12545" width="44.85546875" style="18" customWidth="1"/>
    <col min="12546" max="12546" width="13.7109375" style="18" customWidth="1"/>
    <col min="12547" max="12547" width="13.140625" style="18" customWidth="1"/>
    <col min="12548" max="12548" width="13.7109375" style="18" customWidth="1"/>
    <col min="12549" max="12550" width="9.5703125" style="18" customWidth="1"/>
    <col min="12551" max="12551" width="17" style="18" customWidth="1"/>
    <col min="12552" max="12552" width="20.28515625" style="18" customWidth="1"/>
    <col min="12553" max="12553" width="12.42578125" style="18" customWidth="1"/>
    <col min="12554" max="12798" width="9.140625" style="18"/>
    <col min="12799" max="12799" width="4.28515625" style="18" customWidth="1"/>
    <col min="12800" max="12800" width="4.42578125" style="18" customWidth="1"/>
    <col min="12801" max="12801" width="44.85546875" style="18" customWidth="1"/>
    <col min="12802" max="12802" width="13.7109375" style="18" customWidth="1"/>
    <col min="12803" max="12803" width="13.140625" style="18" customWidth="1"/>
    <col min="12804" max="12804" width="13.7109375" style="18" customWidth="1"/>
    <col min="12805" max="12806" width="9.5703125" style="18" customWidth="1"/>
    <col min="12807" max="12807" width="17" style="18" customWidth="1"/>
    <col min="12808" max="12808" width="20.28515625" style="18" customWidth="1"/>
    <col min="12809" max="12809" width="12.42578125" style="18" customWidth="1"/>
    <col min="12810" max="13054" width="9.140625" style="18"/>
    <col min="13055" max="13055" width="4.28515625" style="18" customWidth="1"/>
    <col min="13056" max="13056" width="4.42578125" style="18" customWidth="1"/>
    <col min="13057" max="13057" width="44.85546875" style="18" customWidth="1"/>
    <col min="13058" max="13058" width="13.7109375" style="18" customWidth="1"/>
    <col min="13059" max="13059" width="13.140625" style="18" customWidth="1"/>
    <col min="13060" max="13060" width="13.7109375" style="18" customWidth="1"/>
    <col min="13061" max="13062" width="9.5703125" style="18" customWidth="1"/>
    <col min="13063" max="13063" width="17" style="18" customWidth="1"/>
    <col min="13064" max="13064" width="20.28515625" style="18" customWidth="1"/>
    <col min="13065" max="13065" width="12.42578125" style="18" customWidth="1"/>
    <col min="13066" max="13310" width="9.140625" style="18"/>
    <col min="13311" max="13311" width="4.28515625" style="18" customWidth="1"/>
    <col min="13312" max="13312" width="4.42578125" style="18" customWidth="1"/>
    <col min="13313" max="13313" width="44.85546875" style="18" customWidth="1"/>
    <col min="13314" max="13314" width="13.7109375" style="18" customWidth="1"/>
    <col min="13315" max="13315" width="13.140625" style="18" customWidth="1"/>
    <col min="13316" max="13316" width="13.7109375" style="18" customWidth="1"/>
    <col min="13317" max="13318" width="9.5703125" style="18" customWidth="1"/>
    <col min="13319" max="13319" width="17" style="18" customWidth="1"/>
    <col min="13320" max="13320" width="20.28515625" style="18" customWidth="1"/>
    <col min="13321" max="13321" width="12.42578125" style="18" customWidth="1"/>
    <col min="13322" max="13566" width="9.140625" style="18"/>
    <col min="13567" max="13567" width="4.28515625" style="18" customWidth="1"/>
    <col min="13568" max="13568" width="4.42578125" style="18" customWidth="1"/>
    <col min="13569" max="13569" width="44.85546875" style="18" customWidth="1"/>
    <col min="13570" max="13570" width="13.7109375" style="18" customWidth="1"/>
    <col min="13571" max="13571" width="13.140625" style="18" customWidth="1"/>
    <col min="13572" max="13572" width="13.7109375" style="18" customWidth="1"/>
    <col min="13573" max="13574" width="9.5703125" style="18" customWidth="1"/>
    <col min="13575" max="13575" width="17" style="18" customWidth="1"/>
    <col min="13576" max="13576" width="20.28515625" style="18" customWidth="1"/>
    <col min="13577" max="13577" width="12.42578125" style="18" customWidth="1"/>
    <col min="13578" max="13822" width="9.140625" style="18"/>
    <col min="13823" max="13823" width="4.28515625" style="18" customWidth="1"/>
    <col min="13824" max="13824" width="4.42578125" style="18" customWidth="1"/>
    <col min="13825" max="13825" width="44.85546875" style="18" customWidth="1"/>
    <col min="13826" max="13826" width="13.7109375" style="18" customWidth="1"/>
    <col min="13827" max="13827" width="13.140625" style="18" customWidth="1"/>
    <col min="13828" max="13828" width="13.7109375" style="18" customWidth="1"/>
    <col min="13829" max="13830" width="9.5703125" style="18" customWidth="1"/>
    <col min="13831" max="13831" width="17" style="18" customWidth="1"/>
    <col min="13832" max="13832" width="20.28515625" style="18" customWidth="1"/>
    <col min="13833" max="13833" width="12.42578125" style="18" customWidth="1"/>
    <col min="13834" max="14078" width="9.140625" style="18"/>
    <col min="14079" max="14079" width="4.28515625" style="18" customWidth="1"/>
    <col min="14080" max="14080" width="4.42578125" style="18" customWidth="1"/>
    <col min="14081" max="14081" width="44.85546875" style="18" customWidth="1"/>
    <col min="14082" max="14082" width="13.7109375" style="18" customWidth="1"/>
    <col min="14083" max="14083" width="13.140625" style="18" customWidth="1"/>
    <col min="14084" max="14084" width="13.7109375" style="18" customWidth="1"/>
    <col min="14085" max="14086" width="9.5703125" style="18" customWidth="1"/>
    <col min="14087" max="14087" width="17" style="18" customWidth="1"/>
    <col min="14088" max="14088" width="20.28515625" style="18" customWidth="1"/>
    <col min="14089" max="14089" width="12.42578125" style="18" customWidth="1"/>
    <col min="14090" max="14334" width="9.140625" style="18"/>
    <col min="14335" max="14335" width="4.28515625" style="18" customWidth="1"/>
    <col min="14336" max="14336" width="4.42578125" style="18" customWidth="1"/>
    <col min="14337" max="14337" width="44.85546875" style="18" customWidth="1"/>
    <col min="14338" max="14338" width="13.7109375" style="18" customWidth="1"/>
    <col min="14339" max="14339" width="13.140625" style="18" customWidth="1"/>
    <col min="14340" max="14340" width="13.7109375" style="18" customWidth="1"/>
    <col min="14341" max="14342" width="9.5703125" style="18" customWidth="1"/>
    <col min="14343" max="14343" width="17" style="18" customWidth="1"/>
    <col min="14344" max="14344" width="20.28515625" style="18" customWidth="1"/>
    <col min="14345" max="14345" width="12.42578125" style="18" customWidth="1"/>
    <col min="14346" max="14590" width="9.140625" style="18"/>
    <col min="14591" max="14591" width="4.28515625" style="18" customWidth="1"/>
    <col min="14592" max="14592" width="4.42578125" style="18" customWidth="1"/>
    <col min="14593" max="14593" width="44.85546875" style="18" customWidth="1"/>
    <col min="14594" max="14594" width="13.7109375" style="18" customWidth="1"/>
    <col min="14595" max="14595" width="13.140625" style="18" customWidth="1"/>
    <col min="14596" max="14596" width="13.7109375" style="18" customWidth="1"/>
    <col min="14597" max="14598" width="9.5703125" style="18" customWidth="1"/>
    <col min="14599" max="14599" width="17" style="18" customWidth="1"/>
    <col min="14600" max="14600" width="20.28515625" style="18" customWidth="1"/>
    <col min="14601" max="14601" width="12.42578125" style="18" customWidth="1"/>
    <col min="14602" max="14846" width="9.140625" style="18"/>
    <col min="14847" max="14847" width="4.28515625" style="18" customWidth="1"/>
    <col min="14848" max="14848" width="4.42578125" style="18" customWidth="1"/>
    <col min="14849" max="14849" width="44.85546875" style="18" customWidth="1"/>
    <col min="14850" max="14850" width="13.7109375" style="18" customWidth="1"/>
    <col min="14851" max="14851" width="13.140625" style="18" customWidth="1"/>
    <col min="14852" max="14852" width="13.7109375" style="18" customWidth="1"/>
    <col min="14853" max="14854" width="9.5703125" style="18" customWidth="1"/>
    <col min="14855" max="14855" width="17" style="18" customWidth="1"/>
    <col min="14856" max="14856" width="20.28515625" style="18" customWidth="1"/>
    <col min="14857" max="14857" width="12.42578125" style="18" customWidth="1"/>
    <col min="14858" max="15102" width="9.140625" style="18"/>
    <col min="15103" max="15103" width="4.28515625" style="18" customWidth="1"/>
    <col min="15104" max="15104" width="4.42578125" style="18" customWidth="1"/>
    <col min="15105" max="15105" width="44.85546875" style="18" customWidth="1"/>
    <col min="15106" max="15106" width="13.7109375" style="18" customWidth="1"/>
    <col min="15107" max="15107" width="13.140625" style="18" customWidth="1"/>
    <col min="15108" max="15108" width="13.7109375" style="18" customWidth="1"/>
    <col min="15109" max="15110" width="9.5703125" style="18" customWidth="1"/>
    <col min="15111" max="15111" width="17" style="18" customWidth="1"/>
    <col min="15112" max="15112" width="20.28515625" style="18" customWidth="1"/>
    <col min="15113" max="15113" width="12.42578125" style="18" customWidth="1"/>
    <col min="15114" max="15358" width="9.140625" style="18"/>
    <col min="15359" max="15359" width="4.28515625" style="18" customWidth="1"/>
    <col min="15360" max="15360" width="4.42578125" style="18" customWidth="1"/>
    <col min="15361" max="15361" width="44.85546875" style="18" customWidth="1"/>
    <col min="15362" max="15362" width="13.7109375" style="18" customWidth="1"/>
    <col min="15363" max="15363" width="13.140625" style="18" customWidth="1"/>
    <col min="15364" max="15364" width="13.7109375" style="18" customWidth="1"/>
    <col min="15365" max="15366" width="9.5703125" style="18" customWidth="1"/>
    <col min="15367" max="15367" width="17" style="18" customWidth="1"/>
    <col min="15368" max="15368" width="20.28515625" style="18" customWidth="1"/>
    <col min="15369" max="15369" width="12.42578125" style="18" customWidth="1"/>
    <col min="15370" max="15614" width="9.140625" style="18"/>
    <col min="15615" max="15615" width="4.28515625" style="18" customWidth="1"/>
    <col min="15616" max="15616" width="4.42578125" style="18" customWidth="1"/>
    <col min="15617" max="15617" width="44.85546875" style="18" customWidth="1"/>
    <col min="15618" max="15618" width="13.7109375" style="18" customWidth="1"/>
    <col min="15619" max="15619" width="13.140625" style="18" customWidth="1"/>
    <col min="15620" max="15620" width="13.7109375" style="18" customWidth="1"/>
    <col min="15621" max="15622" width="9.5703125" style="18" customWidth="1"/>
    <col min="15623" max="15623" width="17" style="18" customWidth="1"/>
    <col min="15624" max="15624" width="20.28515625" style="18" customWidth="1"/>
    <col min="15625" max="15625" width="12.42578125" style="18" customWidth="1"/>
    <col min="15626" max="15870" width="9.140625" style="18"/>
    <col min="15871" max="15871" width="4.28515625" style="18" customWidth="1"/>
    <col min="15872" max="15872" width="4.42578125" style="18" customWidth="1"/>
    <col min="15873" max="15873" width="44.85546875" style="18" customWidth="1"/>
    <col min="15874" max="15874" width="13.7109375" style="18" customWidth="1"/>
    <col min="15875" max="15875" width="13.140625" style="18" customWidth="1"/>
    <col min="15876" max="15876" width="13.7109375" style="18" customWidth="1"/>
    <col min="15877" max="15878" width="9.5703125" style="18" customWidth="1"/>
    <col min="15879" max="15879" width="17" style="18" customWidth="1"/>
    <col min="15880" max="15880" width="20.28515625" style="18" customWidth="1"/>
    <col min="15881" max="15881" width="12.42578125" style="18" customWidth="1"/>
    <col min="15882" max="16126" width="9.140625" style="18"/>
    <col min="16127" max="16127" width="4.28515625" style="18" customWidth="1"/>
    <col min="16128" max="16128" width="4.42578125" style="18" customWidth="1"/>
    <col min="16129" max="16129" width="44.85546875" style="18" customWidth="1"/>
    <col min="16130" max="16130" width="13.7109375" style="18" customWidth="1"/>
    <col min="16131" max="16131" width="13.140625" style="18" customWidth="1"/>
    <col min="16132" max="16132" width="13.7109375" style="18" customWidth="1"/>
    <col min="16133" max="16134" width="9.5703125" style="18" customWidth="1"/>
    <col min="16135" max="16135" width="17" style="18" customWidth="1"/>
    <col min="16136" max="16136" width="20.28515625" style="18" customWidth="1"/>
    <col min="16137" max="16137" width="12.42578125" style="18" customWidth="1"/>
    <col min="16138" max="16382" width="9.140625" style="18"/>
    <col min="16383" max="16384" width="9.140625" style="18" customWidth="1"/>
  </cols>
  <sheetData>
    <row r="1" spans="1:8">
      <c r="A1" s="136" t="str">
        <f>SAŽETAK!A1</f>
        <v>FINANCIJSKI PLAN OSNOVNE ŠKOLE ANTUNA MASLE - ORAŠAC ZA 2026. I PROJEKCIJA ZA 2027. I 2028. GODINU</v>
      </c>
      <c r="B1" s="136"/>
      <c r="C1" s="136"/>
      <c r="D1" s="136"/>
      <c r="E1" s="136"/>
      <c r="F1" s="136"/>
    </row>
    <row r="2" spans="1:8" s="12" customFormat="1" ht="18.75">
      <c r="A2" s="134" t="s">
        <v>88</v>
      </c>
      <c r="B2" s="134"/>
      <c r="C2" s="134"/>
      <c r="D2" s="134"/>
      <c r="E2" s="134"/>
      <c r="F2" s="134"/>
      <c r="G2" s="11"/>
      <c r="H2" s="11"/>
    </row>
    <row r="3" spans="1:8" s="12" customFormat="1" ht="16.5" thickBot="1">
      <c r="A3" s="135" t="s">
        <v>89</v>
      </c>
      <c r="B3" s="135"/>
      <c r="C3" s="135"/>
      <c r="D3" s="135"/>
      <c r="E3" s="135"/>
      <c r="F3" s="135"/>
      <c r="G3" s="13"/>
      <c r="H3" s="13"/>
    </row>
    <row r="4" spans="1:8" s="16" customFormat="1" ht="26.25" thickBot="1">
      <c r="A4" s="14" t="s">
        <v>90</v>
      </c>
      <c r="B4" s="15" t="s">
        <v>91</v>
      </c>
      <c r="C4" s="15" t="s">
        <v>169</v>
      </c>
      <c r="D4" s="15" t="s">
        <v>170</v>
      </c>
      <c r="E4" s="15" t="s">
        <v>171</v>
      </c>
      <c r="F4" s="15" t="s">
        <v>172</v>
      </c>
    </row>
    <row r="5" spans="1:8">
      <c r="A5" s="17" t="s">
        <v>92</v>
      </c>
      <c r="B5" s="93">
        <f>SUM(B6+B12+B15+B18+B22+B29)</f>
        <v>1189786.6100000001</v>
      </c>
      <c r="C5" s="93">
        <f>SUM(C6+C12+C15+C18+C22)</f>
        <v>1407969</v>
      </c>
      <c r="D5" s="93">
        <f>SUM(D6+D12+D15+D18+D22)</f>
        <v>1348900</v>
      </c>
      <c r="E5" s="93">
        <f t="shared" ref="E5:F5" si="0">SUM(E6+E12+E15+E18+E22)</f>
        <v>1348900</v>
      </c>
      <c r="F5" s="93">
        <f t="shared" si="0"/>
        <v>1348900</v>
      </c>
    </row>
    <row r="6" spans="1:8">
      <c r="A6" s="19" t="s">
        <v>93</v>
      </c>
      <c r="B6" s="94">
        <v>1020485.64</v>
      </c>
      <c r="C6" s="94">
        <f>SUM(C7+C9)</f>
        <v>1169966</v>
      </c>
      <c r="D6" s="94">
        <f>SUM(D7+D9)</f>
        <v>1144350</v>
      </c>
      <c r="E6" s="94">
        <f t="shared" ref="E6:F6" si="1">SUM(E7+E9)</f>
        <v>1144350</v>
      </c>
      <c r="F6" s="94">
        <f t="shared" si="1"/>
        <v>1144350</v>
      </c>
    </row>
    <row r="7" spans="1:8">
      <c r="A7" s="20" t="s">
        <v>94</v>
      </c>
      <c r="B7" s="95">
        <v>24511.439999999999</v>
      </c>
      <c r="C7" s="95"/>
      <c r="D7" s="95"/>
      <c r="E7" s="95"/>
      <c r="F7" s="95"/>
    </row>
    <row r="8" spans="1:8">
      <c r="A8" s="20" t="s">
        <v>95</v>
      </c>
      <c r="B8" s="95">
        <v>24511.439999999999</v>
      </c>
      <c r="C8" s="95"/>
      <c r="D8" s="95"/>
      <c r="E8" s="95"/>
      <c r="F8" s="95"/>
    </row>
    <row r="9" spans="1:8">
      <c r="A9" s="20" t="s">
        <v>96</v>
      </c>
      <c r="B9" s="95">
        <v>995974.2</v>
      </c>
      <c r="C9" s="95">
        <f>SUM(C10:C11)</f>
        <v>1169966</v>
      </c>
      <c r="D9" s="95">
        <f t="shared" ref="D9" si="2">SUM(D10:D11)</f>
        <v>1144350</v>
      </c>
      <c r="E9" s="95">
        <f t="shared" ref="E9:F9" si="3">SUM(E10:E11)</f>
        <v>1144350</v>
      </c>
      <c r="F9" s="95">
        <f t="shared" si="3"/>
        <v>1144350</v>
      </c>
    </row>
    <row r="10" spans="1:8">
      <c r="A10" s="20" t="s">
        <v>97</v>
      </c>
      <c r="B10" s="95">
        <v>983735.63</v>
      </c>
      <c r="C10" s="95">
        <v>1155666</v>
      </c>
      <c r="D10" s="95">
        <f>1075000+58350</f>
        <v>1133350</v>
      </c>
      <c r="E10" s="95">
        <f t="shared" ref="E10:F10" si="4">1075000+58350</f>
        <v>1133350</v>
      </c>
      <c r="F10" s="95">
        <f t="shared" si="4"/>
        <v>1133350</v>
      </c>
    </row>
    <row r="11" spans="1:8">
      <c r="A11" s="20" t="s">
        <v>98</v>
      </c>
      <c r="B11" s="95">
        <v>12238.57</v>
      </c>
      <c r="C11" s="95">
        <v>14300</v>
      </c>
      <c r="D11" s="95">
        <v>11000</v>
      </c>
      <c r="E11" s="95">
        <v>11000</v>
      </c>
      <c r="F11" s="95">
        <v>11000</v>
      </c>
    </row>
    <row r="12" spans="1:8">
      <c r="A12" s="19" t="s">
        <v>99</v>
      </c>
      <c r="B12" s="94">
        <v>11.44</v>
      </c>
      <c r="C12" s="94">
        <f>SUM(C13)</f>
        <v>0</v>
      </c>
      <c r="D12" s="94">
        <f t="shared" ref="D12:F12" si="5">SUM(D13)</f>
        <v>0</v>
      </c>
      <c r="E12" s="94">
        <f t="shared" si="5"/>
        <v>0</v>
      </c>
      <c r="F12" s="94">
        <f t="shared" si="5"/>
        <v>0</v>
      </c>
    </row>
    <row r="13" spans="1:8">
      <c r="A13" s="20" t="s">
        <v>100</v>
      </c>
      <c r="B13" s="95">
        <v>11.44</v>
      </c>
      <c r="C13" s="95">
        <f>SUM(C14)</f>
        <v>0</v>
      </c>
      <c r="D13" s="95">
        <f t="shared" ref="D13:F13" si="6">SUM(D14)</f>
        <v>0</v>
      </c>
      <c r="E13" s="95">
        <f t="shared" si="6"/>
        <v>0</v>
      </c>
      <c r="F13" s="95">
        <f t="shared" si="6"/>
        <v>0</v>
      </c>
    </row>
    <row r="14" spans="1:8">
      <c r="A14" s="20" t="s">
        <v>101</v>
      </c>
      <c r="B14" s="95">
        <v>11.44</v>
      </c>
      <c r="C14" s="95">
        <v>0</v>
      </c>
      <c r="D14" s="95"/>
      <c r="E14" s="95"/>
      <c r="F14" s="95"/>
    </row>
    <row r="15" spans="1:8" ht="25.5">
      <c r="A15" s="19" t="s">
        <v>102</v>
      </c>
      <c r="B15" s="94">
        <v>15160.43</v>
      </c>
      <c r="C15" s="94">
        <f>C16</f>
        <v>22000</v>
      </c>
      <c r="D15" s="94">
        <f>SUM(D17)</f>
        <v>17730</v>
      </c>
      <c r="E15" s="94">
        <f t="shared" ref="E15:F15" si="7">SUM(E17)</f>
        <v>17730</v>
      </c>
      <c r="F15" s="94">
        <f t="shared" si="7"/>
        <v>17730</v>
      </c>
    </row>
    <row r="16" spans="1:8">
      <c r="A16" s="20" t="s">
        <v>103</v>
      </c>
      <c r="B16" s="95">
        <v>15160.43</v>
      </c>
      <c r="C16" s="95">
        <f>SUM(C17)</f>
        <v>22000</v>
      </c>
      <c r="D16" s="95">
        <f>D17</f>
        <v>17730</v>
      </c>
      <c r="E16" s="95">
        <v>17730</v>
      </c>
      <c r="F16" s="95">
        <v>17730</v>
      </c>
    </row>
    <row r="17" spans="1:9">
      <c r="A17" s="20" t="s">
        <v>104</v>
      </c>
      <c r="B17" s="95">
        <v>15160.43</v>
      </c>
      <c r="C17" s="95">
        <v>22000</v>
      </c>
      <c r="D17" s="95">
        <v>17730</v>
      </c>
      <c r="E17" s="95">
        <v>17730</v>
      </c>
      <c r="F17" s="95">
        <v>17730</v>
      </c>
      <c r="H17" s="101"/>
    </row>
    <row r="18" spans="1:9">
      <c r="A18" s="19" t="s">
        <v>105</v>
      </c>
      <c r="B18" s="94">
        <f t="shared" ref="B18" si="8">B19</f>
        <v>154080.74</v>
      </c>
      <c r="C18" s="94">
        <f>C19</f>
        <v>215903</v>
      </c>
      <c r="D18" s="94">
        <f>SUM(D19)</f>
        <v>186720</v>
      </c>
      <c r="E18" s="94">
        <f t="shared" ref="E18:F18" si="9">SUM(E19)</f>
        <v>186720</v>
      </c>
      <c r="F18" s="94">
        <f t="shared" si="9"/>
        <v>186720</v>
      </c>
    </row>
    <row r="19" spans="1:9" ht="12.75" customHeight="1">
      <c r="A19" s="20" t="s">
        <v>106</v>
      </c>
      <c r="B19" s="95">
        <f t="shared" ref="B19" si="10">SUM(B20:B21)</f>
        <v>154080.74</v>
      </c>
      <c r="C19" s="95">
        <f>SUM(C20:C21)</f>
        <v>215903</v>
      </c>
      <c r="D19" s="95">
        <f>D20+D21</f>
        <v>186720</v>
      </c>
      <c r="E19" s="95">
        <f t="shared" ref="E19:F19" si="11">E20+E21</f>
        <v>186720</v>
      </c>
      <c r="F19" s="95">
        <f t="shared" si="11"/>
        <v>186720</v>
      </c>
    </row>
    <row r="20" spans="1:9">
      <c r="A20" s="20" t="s">
        <v>107</v>
      </c>
      <c r="B20" s="95">
        <v>148080.74</v>
      </c>
      <c r="C20" s="95">
        <f>215903-8000</f>
        <v>207903</v>
      </c>
      <c r="D20" s="95">
        <v>178720</v>
      </c>
      <c r="E20" s="95">
        <v>178720</v>
      </c>
      <c r="F20" s="95">
        <v>178720</v>
      </c>
    </row>
    <row r="21" spans="1:9">
      <c r="A21" s="20" t="s">
        <v>108</v>
      </c>
      <c r="B21" s="95">
        <v>6000</v>
      </c>
      <c r="C21" s="95">
        <v>8000</v>
      </c>
      <c r="D21" s="95">
        <v>8000</v>
      </c>
      <c r="E21" s="95">
        <v>8000</v>
      </c>
      <c r="F21" s="95">
        <v>8000</v>
      </c>
    </row>
    <row r="22" spans="1:9">
      <c r="A22" s="19" t="s">
        <v>109</v>
      </c>
      <c r="B22" s="94">
        <v>48.36</v>
      </c>
      <c r="C22" s="94">
        <f>C23</f>
        <v>100</v>
      </c>
      <c r="D22" s="94">
        <f>D23</f>
        <v>100</v>
      </c>
      <c r="E22" s="94">
        <f t="shared" ref="E22:F23" si="12">E23</f>
        <v>100</v>
      </c>
      <c r="F22" s="94">
        <f t="shared" si="12"/>
        <v>100</v>
      </c>
    </row>
    <row r="23" spans="1:9">
      <c r="A23" s="20" t="s">
        <v>110</v>
      </c>
      <c r="B23" s="95">
        <v>48.36</v>
      </c>
      <c r="C23" s="95">
        <f>C24</f>
        <v>100</v>
      </c>
      <c r="D23" s="95">
        <f>D24</f>
        <v>100</v>
      </c>
      <c r="E23" s="95">
        <f t="shared" si="12"/>
        <v>100</v>
      </c>
      <c r="F23" s="95">
        <f t="shared" si="12"/>
        <v>100</v>
      </c>
    </row>
    <row r="24" spans="1:9">
      <c r="A24" s="20" t="s">
        <v>111</v>
      </c>
      <c r="B24" s="95">
        <v>48.36</v>
      </c>
      <c r="C24" s="95">
        <v>100</v>
      </c>
      <c r="D24" s="95">
        <v>100</v>
      </c>
      <c r="E24" s="95">
        <v>100</v>
      </c>
      <c r="F24" s="95">
        <v>100</v>
      </c>
    </row>
    <row r="25" spans="1:9">
      <c r="A25" s="17" t="s">
        <v>112</v>
      </c>
      <c r="B25" s="93">
        <v>604.9</v>
      </c>
      <c r="C25" s="93">
        <v>0</v>
      </c>
      <c r="D25" s="93">
        <v>0</v>
      </c>
      <c r="E25" s="93">
        <v>0</v>
      </c>
      <c r="F25" s="93">
        <v>0</v>
      </c>
    </row>
    <row r="26" spans="1:9">
      <c r="A26" s="19" t="s">
        <v>113</v>
      </c>
      <c r="B26" s="94">
        <v>604.9</v>
      </c>
      <c r="C26" s="94">
        <f>C27</f>
        <v>0</v>
      </c>
      <c r="D26" s="94">
        <f t="shared" ref="D26:F26" si="13">D27</f>
        <v>0</v>
      </c>
      <c r="E26" s="94">
        <f t="shared" si="13"/>
        <v>0</v>
      </c>
      <c r="F26" s="94">
        <f t="shared" si="13"/>
        <v>0</v>
      </c>
    </row>
    <row r="27" spans="1:9">
      <c r="A27" s="20" t="s">
        <v>114</v>
      </c>
      <c r="B27" s="95">
        <v>604.9</v>
      </c>
      <c r="C27" s="95">
        <f>C28</f>
        <v>0</v>
      </c>
      <c r="D27" s="95">
        <v>0</v>
      </c>
      <c r="E27" s="95">
        <v>0</v>
      </c>
      <c r="F27" s="95">
        <v>0</v>
      </c>
    </row>
    <row r="28" spans="1:9">
      <c r="A28" s="20" t="s">
        <v>115</v>
      </c>
      <c r="B28" s="95">
        <v>604.9</v>
      </c>
      <c r="C28" s="95">
        <v>0</v>
      </c>
      <c r="D28" s="95">
        <v>0</v>
      </c>
      <c r="E28" s="95">
        <v>0</v>
      </c>
      <c r="F28" s="95">
        <v>0</v>
      </c>
    </row>
    <row r="29" spans="1:9">
      <c r="A29" s="20" t="s">
        <v>116</v>
      </c>
      <c r="B29" s="95"/>
      <c r="C29" s="95"/>
      <c r="D29" s="95"/>
      <c r="E29" s="95"/>
      <c r="F29" s="95"/>
    </row>
    <row r="30" spans="1:9">
      <c r="A30" s="17" t="s">
        <v>117</v>
      </c>
      <c r="B30" s="93">
        <v>1152942.72</v>
      </c>
      <c r="C30" s="93">
        <f>C31+C39+C66+C69+C73</f>
        <v>1379369</v>
      </c>
      <c r="D30" s="93">
        <f t="shared" ref="D30:F30" si="14">D31+D39+D66+D69+D73</f>
        <v>1328830</v>
      </c>
      <c r="E30" s="93">
        <f t="shared" si="14"/>
        <v>1328830</v>
      </c>
      <c r="F30" s="93">
        <f t="shared" si="14"/>
        <v>1328830</v>
      </c>
      <c r="G30" s="101"/>
      <c r="H30" s="101"/>
      <c r="I30" s="101"/>
    </row>
    <row r="31" spans="1:9" s="21" customFormat="1">
      <c r="A31" s="19" t="s">
        <v>118</v>
      </c>
      <c r="B31" s="94">
        <v>970532.86</v>
      </c>
      <c r="C31" s="94">
        <f>SUM(C37+C35+C32)</f>
        <v>1152426</v>
      </c>
      <c r="D31" s="94">
        <f>SUM(D37+D35+D32)</f>
        <v>1140250</v>
      </c>
      <c r="E31" s="94">
        <f t="shared" ref="E31" si="15">SUM(E37+E35+E32)</f>
        <v>1140250</v>
      </c>
      <c r="F31" s="94">
        <f>SUM(F37+F35+F32)</f>
        <v>1140250</v>
      </c>
    </row>
    <row r="32" spans="1:9" s="21" customFormat="1">
      <c r="A32" s="20" t="s">
        <v>119</v>
      </c>
      <c r="B32" s="95">
        <v>801820.95</v>
      </c>
      <c r="C32" s="95">
        <f>SUM(C33+C34)</f>
        <v>954311</v>
      </c>
      <c r="D32" s="95">
        <f>SUM(D33)</f>
        <v>945300</v>
      </c>
      <c r="E32" s="95">
        <f t="shared" ref="E32:F32" si="16">SUM(E33)</f>
        <v>945300</v>
      </c>
      <c r="F32" s="95">
        <f t="shared" si="16"/>
        <v>945300</v>
      </c>
    </row>
    <row r="33" spans="1:10" s="21" customFormat="1">
      <c r="A33" s="20" t="s">
        <v>120</v>
      </c>
      <c r="B33" s="95">
        <v>801820.95</v>
      </c>
      <c r="C33" s="95">
        <v>939500</v>
      </c>
      <c r="D33" s="95">
        <f>42000+13000+23000+10800+848000+8500</f>
        <v>945300</v>
      </c>
      <c r="E33" s="95">
        <f t="shared" ref="E33:F33" si="17">42000+13000+23000+10800+848000+8500</f>
        <v>945300</v>
      </c>
      <c r="F33" s="95">
        <f t="shared" si="17"/>
        <v>945300</v>
      </c>
      <c r="H33" s="102"/>
      <c r="I33" s="102"/>
      <c r="J33" s="102"/>
    </row>
    <row r="34" spans="1:10" s="21" customFormat="1">
      <c r="A34" s="20" t="s">
        <v>240</v>
      </c>
      <c r="B34" s="95"/>
      <c r="C34" s="95">
        <v>14811</v>
      </c>
      <c r="D34" s="95"/>
      <c r="E34" s="95"/>
      <c r="F34" s="95"/>
      <c r="H34" s="102"/>
      <c r="I34" s="102"/>
      <c r="J34" s="102"/>
    </row>
    <row r="35" spans="1:10" s="21" customFormat="1">
      <c r="A35" s="20" t="s">
        <v>121</v>
      </c>
      <c r="B35" s="95">
        <v>36268.269999999997</v>
      </c>
      <c r="C35" s="95">
        <f>SUM(C36)</f>
        <v>40600</v>
      </c>
      <c r="D35" s="95">
        <f>SUM(D36)</f>
        <v>38700</v>
      </c>
      <c r="E35" s="95">
        <f t="shared" ref="E35:F35" si="18">SUM(E36)</f>
        <v>38700</v>
      </c>
      <c r="F35" s="95">
        <f t="shared" si="18"/>
        <v>38700</v>
      </c>
    </row>
    <row r="36" spans="1:10" s="21" customFormat="1">
      <c r="A36" s="20" t="s">
        <v>122</v>
      </c>
      <c r="B36" s="95">
        <v>36268.269999999997</v>
      </c>
      <c r="C36" s="95">
        <v>40600</v>
      </c>
      <c r="D36" s="95">
        <f>800+200+600+1200+500+900+16600+3500+3000+10500+900</f>
        <v>38700</v>
      </c>
      <c r="E36" s="95">
        <f t="shared" ref="E36:F36" si="19">800+200+600+1200+500+900+16600+3500+3000+10500+900</f>
        <v>38700</v>
      </c>
      <c r="F36" s="95">
        <f t="shared" si="19"/>
        <v>38700</v>
      </c>
    </row>
    <row r="37" spans="1:10" s="21" customFormat="1">
      <c r="A37" s="20" t="s">
        <v>123</v>
      </c>
      <c r="B37" s="95">
        <v>132443.64000000001</v>
      </c>
      <c r="C37" s="95">
        <f>SUM(C38)</f>
        <v>157515</v>
      </c>
      <c r="D37" s="95">
        <f>SUM(D38)</f>
        <v>156250</v>
      </c>
      <c r="E37" s="95">
        <f t="shared" ref="E37:F37" si="20">SUM(E38)</f>
        <v>156250</v>
      </c>
      <c r="F37" s="95">
        <f t="shared" si="20"/>
        <v>156250</v>
      </c>
    </row>
    <row r="38" spans="1:10" s="21" customFormat="1">
      <c r="A38" s="20" t="s">
        <v>124</v>
      </c>
      <c r="B38" s="95">
        <v>132443.64000000001</v>
      </c>
      <c r="C38" s="95">
        <v>157515</v>
      </c>
      <c r="D38" s="95">
        <f>7000+2150+3900+140000+1800+1400</f>
        <v>156250</v>
      </c>
      <c r="E38" s="95">
        <f t="shared" ref="E38:F38" si="21">7000+2150+3900+140000+1800+1400</f>
        <v>156250</v>
      </c>
      <c r="F38" s="95">
        <f t="shared" si="21"/>
        <v>156250</v>
      </c>
    </row>
    <row r="39" spans="1:10" s="21" customFormat="1">
      <c r="A39" s="19" t="s">
        <v>125</v>
      </c>
      <c r="B39" s="94">
        <v>164634.94</v>
      </c>
      <c r="C39" s="94">
        <f>SUM(C40+C45+C51+C60)</f>
        <v>208697</v>
      </c>
      <c r="D39" s="94">
        <f>SUM(D40+D45+D51+D60)</f>
        <v>185880</v>
      </c>
      <c r="E39" s="94">
        <f t="shared" ref="E39:F39" si="22">SUM(E40+E45+E51+E60)</f>
        <v>185880</v>
      </c>
      <c r="F39" s="94">
        <f t="shared" si="22"/>
        <v>185880</v>
      </c>
    </row>
    <row r="40" spans="1:10" s="21" customFormat="1">
      <c r="A40" s="20" t="s">
        <v>126</v>
      </c>
      <c r="B40" s="95">
        <v>42161.25</v>
      </c>
      <c r="C40" s="95">
        <f>SUM(C41:C44)</f>
        <v>57440</v>
      </c>
      <c r="D40" s="95">
        <f>SUM(D41:D44)</f>
        <v>56700</v>
      </c>
      <c r="E40" s="95">
        <f t="shared" ref="E40:F40" si="23">SUM(E41:E44)</f>
        <v>56700</v>
      </c>
      <c r="F40" s="95">
        <f t="shared" si="23"/>
        <v>56700</v>
      </c>
    </row>
    <row r="41" spans="1:10" s="21" customFormat="1">
      <c r="A41" s="20" t="s">
        <v>127</v>
      </c>
      <c r="B41" s="95">
        <v>2703.86</v>
      </c>
      <c r="C41" s="95">
        <f>1920+320+40+500</f>
        <v>2780</v>
      </c>
      <c r="D41" s="95">
        <f>1800+300+80+120</f>
        <v>2300</v>
      </c>
      <c r="E41" s="95">
        <f t="shared" ref="E41:F41" si="24">1800+300+80+120</f>
        <v>2300</v>
      </c>
      <c r="F41" s="95">
        <f t="shared" si="24"/>
        <v>2300</v>
      </c>
    </row>
    <row r="42" spans="1:10" s="21" customFormat="1">
      <c r="A42" s="20" t="s">
        <v>128</v>
      </c>
      <c r="B42" s="95">
        <v>38405.42</v>
      </c>
      <c r="C42" s="95">
        <v>52555</v>
      </c>
      <c r="D42" s="95">
        <f>1800+1000+50000+400</f>
        <v>53200</v>
      </c>
      <c r="E42" s="95">
        <f t="shared" ref="E42:F42" si="25">1800+1000+50000+400</f>
        <v>53200</v>
      </c>
      <c r="F42" s="95">
        <f t="shared" si="25"/>
        <v>53200</v>
      </c>
    </row>
    <row r="43" spans="1:10" s="21" customFormat="1">
      <c r="A43" s="20" t="s">
        <v>129</v>
      </c>
      <c r="B43" s="95">
        <v>160</v>
      </c>
      <c r="C43" s="95">
        <v>400</v>
      </c>
      <c r="D43" s="95">
        <f>200+200</f>
        <v>400</v>
      </c>
      <c r="E43" s="95">
        <f t="shared" ref="E43:F43" si="26">200+200</f>
        <v>400</v>
      </c>
      <c r="F43" s="95">
        <f t="shared" si="26"/>
        <v>400</v>
      </c>
    </row>
    <row r="44" spans="1:10" s="21" customFormat="1">
      <c r="A44" s="20" t="s">
        <v>130</v>
      </c>
      <c r="B44" s="95">
        <v>891.97</v>
      </c>
      <c r="C44" s="95">
        <v>1705</v>
      </c>
      <c r="D44" s="95">
        <f>800</f>
        <v>800</v>
      </c>
      <c r="E44" s="95">
        <f>800</f>
        <v>800</v>
      </c>
      <c r="F44" s="95">
        <f>800</f>
        <v>800</v>
      </c>
    </row>
    <row r="45" spans="1:10" s="21" customFormat="1">
      <c r="A45" s="20" t="s">
        <v>131</v>
      </c>
      <c r="B45" s="95">
        <v>80086.63</v>
      </c>
      <c r="C45" s="95">
        <f>SUM(C46:C50)</f>
        <v>89930</v>
      </c>
      <c r="D45" s="95">
        <f>SUM(D46:D50)</f>
        <v>87755</v>
      </c>
      <c r="E45" s="95">
        <v>87755</v>
      </c>
      <c r="F45" s="95">
        <v>87755</v>
      </c>
    </row>
    <row r="46" spans="1:10" s="21" customFormat="1">
      <c r="A46" s="20" t="s">
        <v>132</v>
      </c>
      <c r="B46" s="95">
        <v>18253.79</v>
      </c>
      <c r="C46" s="95">
        <f>4320+900+3000+4050+4915</f>
        <v>17185</v>
      </c>
      <c r="D46" s="95">
        <f>3000+500+1800+2650+3945+200+600+200+500+700+800</f>
        <v>14895</v>
      </c>
      <c r="E46" s="95">
        <f t="shared" ref="E46:F46" si="27">3000+500+1800+2650+3945+200+600+200+500+700+800</f>
        <v>14895</v>
      </c>
      <c r="F46" s="95">
        <f t="shared" si="27"/>
        <v>14895</v>
      </c>
    </row>
    <row r="47" spans="1:10" s="21" customFormat="1">
      <c r="A47" s="20" t="s">
        <v>133</v>
      </c>
      <c r="B47" s="95">
        <v>50926.31</v>
      </c>
      <c r="C47" s="95">
        <f>59550+180</f>
        <v>59730</v>
      </c>
      <c r="D47" s="95">
        <f>180+85+1715+57750</f>
        <v>59730</v>
      </c>
      <c r="E47" s="95">
        <f t="shared" ref="E47:F47" si="28">180+85+1715+57750</f>
        <v>59730</v>
      </c>
      <c r="F47" s="95">
        <f t="shared" si="28"/>
        <v>59730</v>
      </c>
    </row>
    <row r="48" spans="1:10" s="21" customFormat="1">
      <c r="A48" s="20" t="s">
        <v>134</v>
      </c>
      <c r="B48" s="95">
        <v>10206.36</v>
      </c>
      <c r="C48" s="95">
        <f>4500+200+6000</f>
        <v>10700</v>
      </c>
      <c r="D48" s="95">
        <f>4500+6000+500+200</f>
        <v>11200</v>
      </c>
      <c r="E48" s="95">
        <f t="shared" ref="E48:F48" si="29">4500+6000+500+200</f>
        <v>11200</v>
      </c>
      <c r="F48" s="95">
        <f t="shared" si="29"/>
        <v>11200</v>
      </c>
    </row>
    <row r="49" spans="1:6" s="21" customFormat="1">
      <c r="A49" s="20" t="s">
        <v>135</v>
      </c>
      <c r="B49" s="95">
        <v>342.4</v>
      </c>
      <c r="C49" s="95">
        <f>1085+830</f>
        <v>1915</v>
      </c>
      <c r="D49" s="95">
        <f>560+400+270+300</f>
        <v>1530</v>
      </c>
      <c r="E49" s="95">
        <f t="shared" ref="E49:F49" si="30">560+400+270+300</f>
        <v>1530</v>
      </c>
      <c r="F49" s="95">
        <f t="shared" si="30"/>
        <v>1530</v>
      </c>
    </row>
    <row r="50" spans="1:6" s="21" customFormat="1">
      <c r="A50" s="20" t="s">
        <v>136</v>
      </c>
      <c r="B50" s="95">
        <v>357.77</v>
      </c>
      <c r="C50" s="95">
        <v>400</v>
      </c>
      <c r="D50" s="95">
        <v>400</v>
      </c>
      <c r="E50" s="95">
        <v>401</v>
      </c>
      <c r="F50" s="95">
        <v>402</v>
      </c>
    </row>
    <row r="51" spans="1:6" s="21" customFormat="1">
      <c r="A51" s="20" t="s">
        <v>137</v>
      </c>
      <c r="B51" s="95">
        <v>37841.1</v>
      </c>
      <c r="C51" s="95">
        <f>SUM(C52:C59)</f>
        <v>56187</v>
      </c>
      <c r="D51" s="95">
        <f>SUM(D52:D59)</f>
        <v>36875</v>
      </c>
      <c r="E51" s="95">
        <f t="shared" ref="E51:F51" si="31">SUM(E52:E59)</f>
        <v>36875</v>
      </c>
      <c r="F51" s="95">
        <f t="shared" si="31"/>
        <v>36875</v>
      </c>
    </row>
    <row r="52" spans="1:6" s="21" customFormat="1">
      <c r="A52" s="20" t="s">
        <v>138</v>
      </c>
      <c r="B52" s="95">
        <v>846.95</v>
      </c>
      <c r="C52" s="95">
        <v>1100</v>
      </c>
      <c r="D52" s="95">
        <f>700+200</f>
        <v>900</v>
      </c>
      <c r="E52" s="95">
        <f t="shared" ref="E52:F52" si="32">700+200</f>
        <v>900</v>
      </c>
      <c r="F52" s="95">
        <f t="shared" si="32"/>
        <v>900</v>
      </c>
    </row>
    <row r="53" spans="1:6" s="21" customFormat="1">
      <c r="A53" s="20" t="s">
        <v>139</v>
      </c>
      <c r="B53" s="95">
        <v>13219.59</v>
      </c>
      <c r="C53" s="95">
        <f>20702+14790</f>
        <v>35492</v>
      </c>
      <c r="D53" s="95">
        <f>10000+2250+200+290+800</f>
        <v>13540</v>
      </c>
      <c r="E53" s="95">
        <f t="shared" ref="E53:F53" si="33">10000+2250+200+290+800</f>
        <v>13540</v>
      </c>
      <c r="F53" s="95">
        <f t="shared" si="33"/>
        <v>13540</v>
      </c>
    </row>
    <row r="54" spans="1:6" s="21" customFormat="1">
      <c r="A54" s="20" t="s">
        <v>140</v>
      </c>
      <c r="B54" s="95">
        <v>7527.28</v>
      </c>
      <c r="C54" s="95">
        <f>1000+1200+570+2400+2200</f>
        <v>7370</v>
      </c>
      <c r="D54" s="95">
        <f>1500+1100+550+2400+2200</f>
        <v>7750</v>
      </c>
      <c r="E54" s="95">
        <f t="shared" ref="E54:F54" si="34">1500+1100+550+2400+2200</f>
        <v>7750</v>
      </c>
      <c r="F54" s="95">
        <f t="shared" si="34"/>
        <v>7750</v>
      </c>
    </row>
    <row r="55" spans="1:6" s="21" customFormat="1">
      <c r="A55" s="20" t="s">
        <v>141</v>
      </c>
      <c r="B55" s="95">
        <v>1607.75</v>
      </c>
      <c r="C55" s="95">
        <f>870+900</f>
        <v>1770</v>
      </c>
      <c r="D55" s="95">
        <f>750+780</f>
        <v>1530</v>
      </c>
      <c r="E55" s="95">
        <f t="shared" ref="E55:F55" si="35">750+780</f>
        <v>1530</v>
      </c>
      <c r="F55" s="95">
        <f t="shared" si="35"/>
        <v>1530</v>
      </c>
    </row>
    <row r="56" spans="1:6" s="21" customFormat="1">
      <c r="A56" s="20" t="s">
        <v>142</v>
      </c>
      <c r="B56" s="95">
        <v>2507.7600000000002</v>
      </c>
      <c r="C56" s="95">
        <f>2240+1200</f>
        <v>3440</v>
      </c>
      <c r="D56" s="95">
        <f>2240</f>
        <v>2240</v>
      </c>
      <c r="E56" s="95">
        <f>2240</f>
        <v>2240</v>
      </c>
      <c r="F56" s="95">
        <f>2240</f>
        <v>2240</v>
      </c>
    </row>
    <row r="57" spans="1:6" s="21" customFormat="1">
      <c r="A57" s="20" t="s">
        <v>143</v>
      </c>
      <c r="B57" s="95">
        <v>513.85</v>
      </c>
      <c r="C57" s="95">
        <v>820</v>
      </c>
      <c r="D57" s="95">
        <f>600+3700</f>
        <v>4300</v>
      </c>
      <c r="E57" s="95">
        <f t="shared" ref="E57:F57" si="36">600+3700</f>
        <v>4300</v>
      </c>
      <c r="F57" s="95">
        <f t="shared" si="36"/>
        <v>4300</v>
      </c>
    </row>
    <row r="58" spans="1:6" s="21" customFormat="1">
      <c r="A58" s="20" t="s">
        <v>144</v>
      </c>
      <c r="B58" s="95">
        <v>2263.37</v>
      </c>
      <c r="C58" s="95">
        <v>2515</v>
      </c>
      <c r="D58" s="95">
        <f>2515</f>
        <v>2515</v>
      </c>
      <c r="E58" s="95">
        <f>2515</f>
        <v>2515</v>
      </c>
      <c r="F58" s="95">
        <f>2515</f>
        <v>2515</v>
      </c>
    </row>
    <row r="59" spans="1:6" s="21" customFormat="1">
      <c r="A59" s="20" t="s">
        <v>145</v>
      </c>
      <c r="B59" s="95">
        <v>9354.5499999999993</v>
      </c>
      <c r="C59" s="95">
        <f>500+3180</f>
        <v>3680</v>
      </c>
      <c r="D59" s="95">
        <f>300+500+2200+100+1000</f>
        <v>4100</v>
      </c>
      <c r="E59" s="95">
        <f t="shared" ref="E59:F59" si="37">300+500+2200+100+1000</f>
        <v>4100</v>
      </c>
      <c r="F59" s="95">
        <f t="shared" si="37"/>
        <v>4100</v>
      </c>
    </row>
    <row r="60" spans="1:6" s="21" customFormat="1">
      <c r="A60" s="20" t="s">
        <v>146</v>
      </c>
      <c r="B60" s="95">
        <v>4545.96</v>
      </c>
      <c r="C60" s="95">
        <f>SUM(C61:C65)</f>
        <v>5140</v>
      </c>
      <c r="D60" s="95">
        <f>SUM(D61:D65)</f>
        <v>4550</v>
      </c>
      <c r="E60" s="95">
        <f t="shared" ref="E60:F60" si="38">SUM(E61:E65)</f>
        <v>4550</v>
      </c>
      <c r="F60" s="95">
        <f t="shared" si="38"/>
        <v>4550</v>
      </c>
    </row>
    <row r="61" spans="1:6" s="21" customFormat="1">
      <c r="A61" s="20" t="s">
        <v>147</v>
      </c>
      <c r="B61" s="95">
        <v>950.69</v>
      </c>
      <c r="C61" s="95">
        <v>860</v>
      </c>
      <c r="D61" s="95">
        <v>950</v>
      </c>
      <c r="E61" s="95">
        <v>950</v>
      </c>
      <c r="F61" s="95">
        <v>950</v>
      </c>
    </row>
    <row r="62" spans="1:6" s="21" customFormat="1">
      <c r="A62" s="20" t="s">
        <v>148</v>
      </c>
      <c r="B62" s="95"/>
      <c r="C62" s="95">
        <v>200</v>
      </c>
      <c r="D62" s="95">
        <v>200</v>
      </c>
      <c r="E62" s="95">
        <v>200</v>
      </c>
      <c r="F62" s="95">
        <v>200</v>
      </c>
    </row>
    <row r="63" spans="1:6" s="21" customFormat="1">
      <c r="A63" s="20" t="s">
        <v>149</v>
      </c>
      <c r="B63" s="95">
        <v>163.09</v>
      </c>
      <c r="C63" s="95">
        <v>200</v>
      </c>
      <c r="D63" s="95">
        <v>200</v>
      </c>
      <c r="E63" s="95">
        <v>200</v>
      </c>
      <c r="F63" s="95">
        <v>200</v>
      </c>
    </row>
    <row r="64" spans="1:6" s="21" customFormat="1">
      <c r="A64" s="20" t="s">
        <v>150</v>
      </c>
      <c r="B64" s="95">
        <v>3136</v>
      </c>
      <c r="C64" s="95">
        <v>3100</v>
      </c>
      <c r="D64" s="95">
        <v>2500</v>
      </c>
      <c r="E64" s="95">
        <v>2500</v>
      </c>
      <c r="F64" s="95">
        <v>2500</v>
      </c>
    </row>
    <row r="65" spans="1:6" s="21" customFormat="1">
      <c r="A65" s="20" t="s">
        <v>151</v>
      </c>
      <c r="B65" s="95">
        <v>296.18</v>
      </c>
      <c r="C65" s="95">
        <v>780</v>
      </c>
      <c r="D65" s="95">
        <f>300+400</f>
        <v>700</v>
      </c>
      <c r="E65" s="95">
        <f t="shared" ref="E65:F65" si="39">300+400</f>
        <v>700</v>
      </c>
      <c r="F65" s="95">
        <f t="shared" si="39"/>
        <v>700</v>
      </c>
    </row>
    <row r="66" spans="1:6" s="21" customFormat="1">
      <c r="A66" s="19" t="s">
        <v>152</v>
      </c>
      <c r="B66" s="94">
        <v>1150</v>
      </c>
      <c r="C66" s="94">
        <f>C67</f>
        <v>640</v>
      </c>
      <c r="D66" s="94">
        <f t="shared" ref="D66:F66" si="40">D67</f>
        <v>100</v>
      </c>
      <c r="E66" s="94">
        <f t="shared" si="40"/>
        <v>100</v>
      </c>
      <c r="F66" s="94">
        <f t="shared" si="40"/>
        <v>100</v>
      </c>
    </row>
    <row r="67" spans="1:6" s="21" customFormat="1">
      <c r="A67" s="20" t="s">
        <v>153</v>
      </c>
      <c r="B67" s="95">
        <v>1150</v>
      </c>
      <c r="C67" s="95">
        <f>C68</f>
        <v>640</v>
      </c>
      <c r="D67" s="95">
        <f>SUM(D68)</f>
        <v>100</v>
      </c>
      <c r="E67" s="95">
        <f t="shared" ref="E67:F67" si="41">SUM(E68)</f>
        <v>100</v>
      </c>
      <c r="F67" s="95">
        <f t="shared" si="41"/>
        <v>100</v>
      </c>
    </row>
    <row r="68" spans="1:6" s="21" customFormat="1">
      <c r="A68" s="20" t="s">
        <v>154</v>
      </c>
      <c r="B68" s="95">
        <v>1150</v>
      </c>
      <c r="C68" s="95">
        <v>640</v>
      </c>
      <c r="D68" s="95">
        <v>100</v>
      </c>
      <c r="E68" s="95">
        <v>100</v>
      </c>
      <c r="F68" s="95">
        <v>100</v>
      </c>
    </row>
    <row r="69" spans="1:6" s="21" customFormat="1">
      <c r="A69" s="19" t="s">
        <v>155</v>
      </c>
      <c r="B69" s="94">
        <v>16096.92</v>
      </c>
      <c r="C69" s="94">
        <f>C70</f>
        <v>17006</v>
      </c>
      <c r="D69" s="94">
        <f t="shared" ref="D69:F69" si="42">SUM(D70)</f>
        <v>2000</v>
      </c>
      <c r="E69" s="94">
        <f t="shared" si="42"/>
        <v>2000</v>
      </c>
      <c r="F69" s="94">
        <f t="shared" si="42"/>
        <v>2000</v>
      </c>
    </row>
    <row r="70" spans="1:6" s="21" customFormat="1">
      <c r="A70" s="20" t="s">
        <v>156</v>
      </c>
      <c r="B70" s="95">
        <v>16096.92</v>
      </c>
      <c r="C70" s="95">
        <f>SUM(C71:C72)</f>
        <v>17006</v>
      </c>
      <c r="D70" s="95">
        <f t="shared" ref="D70:F70" si="43">SUM(D71:D72)</f>
        <v>2000</v>
      </c>
      <c r="E70" s="95">
        <f t="shared" si="43"/>
        <v>2000</v>
      </c>
      <c r="F70" s="95">
        <f t="shared" si="43"/>
        <v>2000</v>
      </c>
    </row>
    <row r="71" spans="1:6" s="21" customFormat="1">
      <c r="A71" s="20" t="s">
        <v>157</v>
      </c>
      <c r="B71" s="95"/>
      <c r="C71" s="95">
        <v>14900</v>
      </c>
      <c r="D71" s="95"/>
      <c r="E71" s="95"/>
      <c r="F71" s="95"/>
    </row>
    <row r="72" spans="1:6" s="21" customFormat="1">
      <c r="A72" s="20" t="s">
        <v>158</v>
      </c>
      <c r="B72" s="95">
        <v>16096.92</v>
      </c>
      <c r="C72" s="95">
        <v>2106</v>
      </c>
      <c r="D72" s="95">
        <v>2000</v>
      </c>
      <c r="E72" s="95">
        <v>2000</v>
      </c>
      <c r="F72" s="95">
        <v>2000</v>
      </c>
    </row>
    <row r="73" spans="1:6" s="21" customFormat="1">
      <c r="A73" s="19" t="s">
        <v>159</v>
      </c>
      <c r="B73" s="94">
        <v>528</v>
      </c>
      <c r="C73" s="94">
        <f>C74</f>
        <v>600</v>
      </c>
      <c r="D73" s="94">
        <f t="shared" ref="D73:F73" si="44">D74</f>
        <v>600</v>
      </c>
      <c r="E73" s="94">
        <f t="shared" si="44"/>
        <v>600</v>
      </c>
      <c r="F73" s="94">
        <f t="shared" si="44"/>
        <v>600</v>
      </c>
    </row>
    <row r="74" spans="1:6" s="21" customFormat="1">
      <c r="A74" s="20" t="s">
        <v>160</v>
      </c>
      <c r="B74" s="95">
        <v>528</v>
      </c>
      <c r="C74" s="95">
        <f>C75</f>
        <v>600</v>
      </c>
      <c r="D74" s="95">
        <f>SUM(D75)</f>
        <v>600</v>
      </c>
      <c r="E74" s="95">
        <f t="shared" ref="E74:F74" si="45">SUM(E75)</f>
        <v>600</v>
      </c>
      <c r="F74" s="95">
        <f t="shared" si="45"/>
        <v>600</v>
      </c>
    </row>
    <row r="75" spans="1:6" s="21" customFormat="1">
      <c r="A75" s="20" t="s">
        <v>161</v>
      </c>
      <c r="B75" s="95">
        <v>528</v>
      </c>
      <c r="C75" s="95">
        <v>600</v>
      </c>
      <c r="D75" s="95">
        <v>600</v>
      </c>
      <c r="E75" s="95">
        <v>600</v>
      </c>
      <c r="F75" s="95">
        <v>600</v>
      </c>
    </row>
    <row r="76" spans="1:6" s="21" customFormat="1">
      <c r="A76" s="149" t="s">
        <v>162</v>
      </c>
      <c r="B76" s="150">
        <v>18238.57</v>
      </c>
      <c r="C76" s="150">
        <f>SUM(C77)</f>
        <v>28600</v>
      </c>
      <c r="D76" s="150">
        <f t="shared" ref="D76:F76" si="46">SUM(D77)</f>
        <v>20070</v>
      </c>
      <c r="E76" s="150">
        <f t="shared" si="46"/>
        <v>20070</v>
      </c>
      <c r="F76" s="150">
        <f t="shared" si="46"/>
        <v>20070</v>
      </c>
    </row>
    <row r="77" spans="1:6" s="21" customFormat="1">
      <c r="A77" s="19" t="s">
        <v>163</v>
      </c>
      <c r="B77" s="94">
        <v>18238.57</v>
      </c>
      <c r="C77" s="94">
        <f>SUM(C78+C81)</f>
        <v>28600</v>
      </c>
      <c r="D77" s="94">
        <f>SUM(D78+D81)</f>
        <v>20070</v>
      </c>
      <c r="E77" s="94">
        <f t="shared" ref="E77:F77" si="47">SUM(E78+E81)</f>
        <v>20070</v>
      </c>
      <c r="F77" s="94">
        <f t="shared" si="47"/>
        <v>20070</v>
      </c>
    </row>
    <row r="78" spans="1:6" s="21" customFormat="1">
      <c r="A78" s="20" t="s">
        <v>164</v>
      </c>
      <c r="B78" s="95">
        <v>6000</v>
      </c>
      <c r="C78" s="95">
        <f>SUM(C79:C80)</f>
        <v>13300</v>
      </c>
      <c r="D78" s="95">
        <f>SUM(D79:D80)</f>
        <v>9070</v>
      </c>
      <c r="E78" s="95">
        <f t="shared" ref="E78:F78" si="48">SUM(E79:E80)</f>
        <v>9070</v>
      </c>
      <c r="F78" s="95">
        <f t="shared" si="48"/>
        <v>9070</v>
      </c>
    </row>
    <row r="79" spans="1:6" s="21" customFormat="1">
      <c r="A79" s="20" t="s">
        <v>165</v>
      </c>
      <c r="B79" s="95">
        <v>6000</v>
      </c>
      <c r="C79" s="95">
        <f>8830+3340</f>
        <v>12170</v>
      </c>
      <c r="D79" s="95">
        <v>8000</v>
      </c>
      <c r="E79" s="95">
        <v>8000</v>
      </c>
      <c r="F79" s="95">
        <v>8000</v>
      </c>
    </row>
    <row r="80" spans="1:6" s="21" customFormat="1">
      <c r="A80" s="20" t="s">
        <v>166</v>
      </c>
      <c r="B80" s="95"/>
      <c r="C80" s="95">
        <v>1130</v>
      </c>
      <c r="D80" s="95">
        <v>1070</v>
      </c>
      <c r="E80" s="95">
        <v>1070</v>
      </c>
      <c r="F80" s="95">
        <v>1070</v>
      </c>
    </row>
    <row r="81" spans="1:6" s="21" customFormat="1">
      <c r="A81" s="20" t="s">
        <v>167</v>
      </c>
      <c r="B81" s="95">
        <v>12238.57</v>
      </c>
      <c r="C81" s="95">
        <f>SUM(C82)</f>
        <v>15300</v>
      </c>
      <c r="D81" s="95">
        <f>SUM(D82)</f>
        <v>11000</v>
      </c>
      <c r="E81" s="95">
        <f t="shared" ref="E81:F81" si="49">SUM(E82)</f>
        <v>11000</v>
      </c>
      <c r="F81" s="95">
        <f t="shared" si="49"/>
        <v>11000</v>
      </c>
    </row>
    <row r="82" spans="1:6" s="21" customFormat="1">
      <c r="A82" s="20" t="s">
        <v>168</v>
      </c>
      <c r="B82" s="95">
        <v>12238.57</v>
      </c>
      <c r="C82" s="95">
        <v>15300</v>
      </c>
      <c r="D82" s="95">
        <v>11000</v>
      </c>
      <c r="E82" s="95">
        <v>11000</v>
      </c>
      <c r="F82" s="95">
        <v>11000</v>
      </c>
    </row>
  </sheetData>
  <mergeCells count="3">
    <mergeCell ref="A2:F2"/>
    <mergeCell ref="A3:F3"/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workbookViewId="0">
      <selection sqref="A1:F1"/>
    </sheetView>
  </sheetViews>
  <sheetFormatPr defaultRowHeight="12.75"/>
  <cols>
    <col min="1" max="1" width="64.7109375" style="12" customWidth="1"/>
    <col min="2" max="2" width="14.28515625" style="12" customWidth="1"/>
    <col min="3" max="6" width="12.5703125" style="12" customWidth="1"/>
    <col min="7" max="7" width="10.5703125" style="12" customWidth="1"/>
    <col min="8" max="8" width="9" style="12" customWidth="1"/>
    <col min="9" max="9" width="9.42578125" style="12" bestFit="1" customWidth="1"/>
    <col min="10" max="254" width="9.140625" style="12"/>
    <col min="255" max="255" width="4.28515625" style="12" customWidth="1"/>
    <col min="256" max="256" width="5.28515625" style="12" customWidth="1"/>
    <col min="257" max="257" width="44.85546875" style="12" customWidth="1"/>
    <col min="258" max="258" width="13.7109375" style="12" customWidth="1"/>
    <col min="259" max="259" width="13.140625" style="12" customWidth="1"/>
    <col min="260" max="260" width="13.7109375" style="12" customWidth="1"/>
    <col min="261" max="262" width="9.5703125" style="12" customWidth="1"/>
    <col min="263" max="264" width="0" style="12" hidden="1" customWidth="1"/>
    <col min="265" max="510" width="9.140625" style="12"/>
    <col min="511" max="511" width="4.28515625" style="12" customWidth="1"/>
    <col min="512" max="512" width="5.28515625" style="12" customWidth="1"/>
    <col min="513" max="513" width="44.85546875" style="12" customWidth="1"/>
    <col min="514" max="514" width="13.7109375" style="12" customWidth="1"/>
    <col min="515" max="515" width="13.140625" style="12" customWidth="1"/>
    <col min="516" max="516" width="13.7109375" style="12" customWidth="1"/>
    <col min="517" max="518" width="9.5703125" style="12" customWidth="1"/>
    <col min="519" max="520" width="0" style="12" hidden="1" customWidth="1"/>
    <col min="521" max="766" width="9.140625" style="12"/>
    <col min="767" max="767" width="4.28515625" style="12" customWidth="1"/>
    <col min="768" max="768" width="5.28515625" style="12" customWidth="1"/>
    <col min="769" max="769" width="44.85546875" style="12" customWidth="1"/>
    <col min="770" max="770" width="13.7109375" style="12" customWidth="1"/>
    <col min="771" max="771" width="13.140625" style="12" customWidth="1"/>
    <col min="772" max="772" width="13.7109375" style="12" customWidth="1"/>
    <col min="773" max="774" width="9.5703125" style="12" customWidth="1"/>
    <col min="775" max="776" width="0" style="12" hidden="1" customWidth="1"/>
    <col min="777" max="1022" width="9.140625" style="12"/>
    <col min="1023" max="1023" width="4.28515625" style="12" customWidth="1"/>
    <col min="1024" max="1024" width="5.28515625" style="12" customWidth="1"/>
    <col min="1025" max="1025" width="44.85546875" style="12" customWidth="1"/>
    <col min="1026" max="1026" width="13.7109375" style="12" customWidth="1"/>
    <col min="1027" max="1027" width="13.140625" style="12" customWidth="1"/>
    <col min="1028" max="1028" width="13.7109375" style="12" customWidth="1"/>
    <col min="1029" max="1030" width="9.5703125" style="12" customWidth="1"/>
    <col min="1031" max="1032" width="0" style="12" hidden="1" customWidth="1"/>
    <col min="1033" max="1278" width="9.140625" style="12"/>
    <col min="1279" max="1279" width="4.28515625" style="12" customWidth="1"/>
    <col min="1280" max="1280" width="5.28515625" style="12" customWidth="1"/>
    <col min="1281" max="1281" width="44.85546875" style="12" customWidth="1"/>
    <col min="1282" max="1282" width="13.7109375" style="12" customWidth="1"/>
    <col min="1283" max="1283" width="13.140625" style="12" customWidth="1"/>
    <col min="1284" max="1284" width="13.7109375" style="12" customWidth="1"/>
    <col min="1285" max="1286" width="9.5703125" style="12" customWidth="1"/>
    <col min="1287" max="1288" width="0" style="12" hidden="1" customWidth="1"/>
    <col min="1289" max="1534" width="9.140625" style="12"/>
    <col min="1535" max="1535" width="4.28515625" style="12" customWidth="1"/>
    <col min="1536" max="1536" width="5.28515625" style="12" customWidth="1"/>
    <col min="1537" max="1537" width="44.85546875" style="12" customWidth="1"/>
    <col min="1538" max="1538" width="13.7109375" style="12" customWidth="1"/>
    <col min="1539" max="1539" width="13.140625" style="12" customWidth="1"/>
    <col min="1540" max="1540" width="13.7109375" style="12" customWidth="1"/>
    <col min="1541" max="1542" width="9.5703125" style="12" customWidth="1"/>
    <col min="1543" max="1544" width="0" style="12" hidden="1" customWidth="1"/>
    <col min="1545" max="1790" width="9.140625" style="12"/>
    <col min="1791" max="1791" width="4.28515625" style="12" customWidth="1"/>
    <col min="1792" max="1792" width="5.28515625" style="12" customWidth="1"/>
    <col min="1793" max="1793" width="44.85546875" style="12" customWidth="1"/>
    <col min="1794" max="1794" width="13.7109375" style="12" customWidth="1"/>
    <col min="1795" max="1795" width="13.140625" style="12" customWidth="1"/>
    <col min="1796" max="1796" width="13.7109375" style="12" customWidth="1"/>
    <col min="1797" max="1798" width="9.5703125" style="12" customWidth="1"/>
    <col min="1799" max="1800" width="0" style="12" hidden="1" customWidth="1"/>
    <col min="1801" max="2046" width="9.140625" style="12"/>
    <col min="2047" max="2047" width="4.28515625" style="12" customWidth="1"/>
    <col min="2048" max="2048" width="5.28515625" style="12" customWidth="1"/>
    <col min="2049" max="2049" width="44.85546875" style="12" customWidth="1"/>
    <col min="2050" max="2050" width="13.7109375" style="12" customWidth="1"/>
    <col min="2051" max="2051" width="13.140625" style="12" customWidth="1"/>
    <col min="2052" max="2052" width="13.7109375" style="12" customWidth="1"/>
    <col min="2053" max="2054" width="9.5703125" style="12" customWidth="1"/>
    <col min="2055" max="2056" width="0" style="12" hidden="1" customWidth="1"/>
    <col min="2057" max="2302" width="9.140625" style="12"/>
    <col min="2303" max="2303" width="4.28515625" style="12" customWidth="1"/>
    <col min="2304" max="2304" width="5.28515625" style="12" customWidth="1"/>
    <col min="2305" max="2305" width="44.85546875" style="12" customWidth="1"/>
    <col min="2306" max="2306" width="13.7109375" style="12" customWidth="1"/>
    <col min="2307" max="2307" width="13.140625" style="12" customWidth="1"/>
    <col min="2308" max="2308" width="13.7109375" style="12" customWidth="1"/>
    <col min="2309" max="2310" width="9.5703125" style="12" customWidth="1"/>
    <col min="2311" max="2312" width="0" style="12" hidden="1" customWidth="1"/>
    <col min="2313" max="2558" width="9.140625" style="12"/>
    <col min="2559" max="2559" width="4.28515625" style="12" customWidth="1"/>
    <col min="2560" max="2560" width="5.28515625" style="12" customWidth="1"/>
    <col min="2561" max="2561" width="44.85546875" style="12" customWidth="1"/>
    <col min="2562" max="2562" width="13.7109375" style="12" customWidth="1"/>
    <col min="2563" max="2563" width="13.140625" style="12" customWidth="1"/>
    <col min="2564" max="2564" width="13.7109375" style="12" customWidth="1"/>
    <col min="2565" max="2566" width="9.5703125" style="12" customWidth="1"/>
    <col min="2567" max="2568" width="0" style="12" hidden="1" customWidth="1"/>
    <col min="2569" max="2814" width="9.140625" style="12"/>
    <col min="2815" max="2815" width="4.28515625" style="12" customWidth="1"/>
    <col min="2816" max="2816" width="5.28515625" style="12" customWidth="1"/>
    <col min="2817" max="2817" width="44.85546875" style="12" customWidth="1"/>
    <col min="2818" max="2818" width="13.7109375" style="12" customWidth="1"/>
    <col min="2819" max="2819" width="13.140625" style="12" customWidth="1"/>
    <col min="2820" max="2820" width="13.7109375" style="12" customWidth="1"/>
    <col min="2821" max="2822" width="9.5703125" style="12" customWidth="1"/>
    <col min="2823" max="2824" width="0" style="12" hidden="1" customWidth="1"/>
    <col min="2825" max="3070" width="9.140625" style="12"/>
    <col min="3071" max="3071" width="4.28515625" style="12" customWidth="1"/>
    <col min="3072" max="3072" width="5.28515625" style="12" customWidth="1"/>
    <col min="3073" max="3073" width="44.85546875" style="12" customWidth="1"/>
    <col min="3074" max="3074" width="13.7109375" style="12" customWidth="1"/>
    <col min="3075" max="3075" width="13.140625" style="12" customWidth="1"/>
    <col min="3076" max="3076" width="13.7109375" style="12" customWidth="1"/>
    <col min="3077" max="3078" width="9.5703125" style="12" customWidth="1"/>
    <col min="3079" max="3080" width="0" style="12" hidden="1" customWidth="1"/>
    <col min="3081" max="3326" width="9.140625" style="12"/>
    <col min="3327" max="3327" width="4.28515625" style="12" customWidth="1"/>
    <col min="3328" max="3328" width="5.28515625" style="12" customWidth="1"/>
    <col min="3329" max="3329" width="44.85546875" style="12" customWidth="1"/>
    <col min="3330" max="3330" width="13.7109375" style="12" customWidth="1"/>
    <col min="3331" max="3331" width="13.140625" style="12" customWidth="1"/>
    <col min="3332" max="3332" width="13.7109375" style="12" customWidth="1"/>
    <col min="3333" max="3334" width="9.5703125" style="12" customWidth="1"/>
    <col min="3335" max="3336" width="0" style="12" hidden="1" customWidth="1"/>
    <col min="3337" max="3582" width="9.140625" style="12"/>
    <col min="3583" max="3583" width="4.28515625" style="12" customWidth="1"/>
    <col min="3584" max="3584" width="5.28515625" style="12" customWidth="1"/>
    <col min="3585" max="3585" width="44.85546875" style="12" customWidth="1"/>
    <col min="3586" max="3586" width="13.7109375" style="12" customWidth="1"/>
    <col min="3587" max="3587" width="13.140625" style="12" customWidth="1"/>
    <col min="3588" max="3588" width="13.7109375" style="12" customWidth="1"/>
    <col min="3589" max="3590" width="9.5703125" style="12" customWidth="1"/>
    <col min="3591" max="3592" width="0" style="12" hidden="1" customWidth="1"/>
    <col min="3593" max="3838" width="9.140625" style="12"/>
    <col min="3839" max="3839" width="4.28515625" style="12" customWidth="1"/>
    <col min="3840" max="3840" width="5.28515625" style="12" customWidth="1"/>
    <col min="3841" max="3841" width="44.85546875" style="12" customWidth="1"/>
    <col min="3842" max="3842" width="13.7109375" style="12" customWidth="1"/>
    <col min="3843" max="3843" width="13.140625" style="12" customWidth="1"/>
    <col min="3844" max="3844" width="13.7109375" style="12" customWidth="1"/>
    <col min="3845" max="3846" width="9.5703125" style="12" customWidth="1"/>
    <col min="3847" max="3848" width="0" style="12" hidden="1" customWidth="1"/>
    <col min="3849" max="4094" width="9.140625" style="12"/>
    <col min="4095" max="4095" width="4.28515625" style="12" customWidth="1"/>
    <col min="4096" max="4096" width="5.28515625" style="12" customWidth="1"/>
    <col min="4097" max="4097" width="44.85546875" style="12" customWidth="1"/>
    <col min="4098" max="4098" width="13.7109375" style="12" customWidth="1"/>
    <col min="4099" max="4099" width="13.140625" style="12" customWidth="1"/>
    <col min="4100" max="4100" width="13.7109375" style="12" customWidth="1"/>
    <col min="4101" max="4102" width="9.5703125" style="12" customWidth="1"/>
    <col min="4103" max="4104" width="0" style="12" hidden="1" customWidth="1"/>
    <col min="4105" max="4350" width="9.140625" style="12"/>
    <col min="4351" max="4351" width="4.28515625" style="12" customWidth="1"/>
    <col min="4352" max="4352" width="5.28515625" style="12" customWidth="1"/>
    <col min="4353" max="4353" width="44.85546875" style="12" customWidth="1"/>
    <col min="4354" max="4354" width="13.7109375" style="12" customWidth="1"/>
    <col min="4355" max="4355" width="13.140625" style="12" customWidth="1"/>
    <col min="4356" max="4356" width="13.7109375" style="12" customWidth="1"/>
    <col min="4357" max="4358" width="9.5703125" style="12" customWidth="1"/>
    <col min="4359" max="4360" width="0" style="12" hidden="1" customWidth="1"/>
    <col min="4361" max="4606" width="9.140625" style="12"/>
    <col min="4607" max="4607" width="4.28515625" style="12" customWidth="1"/>
    <col min="4608" max="4608" width="5.28515625" style="12" customWidth="1"/>
    <col min="4609" max="4609" width="44.85546875" style="12" customWidth="1"/>
    <col min="4610" max="4610" width="13.7109375" style="12" customWidth="1"/>
    <col min="4611" max="4611" width="13.140625" style="12" customWidth="1"/>
    <col min="4612" max="4612" width="13.7109375" style="12" customWidth="1"/>
    <col min="4613" max="4614" width="9.5703125" style="12" customWidth="1"/>
    <col min="4615" max="4616" width="0" style="12" hidden="1" customWidth="1"/>
    <col min="4617" max="4862" width="9.140625" style="12"/>
    <col min="4863" max="4863" width="4.28515625" style="12" customWidth="1"/>
    <col min="4864" max="4864" width="5.28515625" style="12" customWidth="1"/>
    <col min="4865" max="4865" width="44.85546875" style="12" customWidth="1"/>
    <col min="4866" max="4866" width="13.7109375" style="12" customWidth="1"/>
    <col min="4867" max="4867" width="13.140625" style="12" customWidth="1"/>
    <col min="4868" max="4868" width="13.7109375" style="12" customWidth="1"/>
    <col min="4869" max="4870" width="9.5703125" style="12" customWidth="1"/>
    <col min="4871" max="4872" width="0" style="12" hidden="1" customWidth="1"/>
    <col min="4873" max="5118" width="9.140625" style="12"/>
    <col min="5119" max="5119" width="4.28515625" style="12" customWidth="1"/>
    <col min="5120" max="5120" width="5.28515625" style="12" customWidth="1"/>
    <col min="5121" max="5121" width="44.85546875" style="12" customWidth="1"/>
    <col min="5122" max="5122" width="13.7109375" style="12" customWidth="1"/>
    <col min="5123" max="5123" width="13.140625" style="12" customWidth="1"/>
    <col min="5124" max="5124" width="13.7109375" style="12" customWidth="1"/>
    <col min="5125" max="5126" width="9.5703125" style="12" customWidth="1"/>
    <col min="5127" max="5128" width="0" style="12" hidden="1" customWidth="1"/>
    <col min="5129" max="5374" width="9.140625" style="12"/>
    <col min="5375" max="5375" width="4.28515625" style="12" customWidth="1"/>
    <col min="5376" max="5376" width="5.28515625" style="12" customWidth="1"/>
    <col min="5377" max="5377" width="44.85546875" style="12" customWidth="1"/>
    <col min="5378" max="5378" width="13.7109375" style="12" customWidth="1"/>
    <col min="5379" max="5379" width="13.140625" style="12" customWidth="1"/>
    <col min="5380" max="5380" width="13.7109375" style="12" customWidth="1"/>
    <col min="5381" max="5382" width="9.5703125" style="12" customWidth="1"/>
    <col min="5383" max="5384" width="0" style="12" hidden="1" customWidth="1"/>
    <col min="5385" max="5630" width="9.140625" style="12"/>
    <col min="5631" max="5631" width="4.28515625" style="12" customWidth="1"/>
    <col min="5632" max="5632" width="5.28515625" style="12" customWidth="1"/>
    <col min="5633" max="5633" width="44.85546875" style="12" customWidth="1"/>
    <col min="5634" max="5634" width="13.7109375" style="12" customWidth="1"/>
    <col min="5635" max="5635" width="13.140625" style="12" customWidth="1"/>
    <col min="5636" max="5636" width="13.7109375" style="12" customWidth="1"/>
    <col min="5637" max="5638" width="9.5703125" style="12" customWidth="1"/>
    <col min="5639" max="5640" width="0" style="12" hidden="1" customWidth="1"/>
    <col min="5641" max="5886" width="9.140625" style="12"/>
    <col min="5887" max="5887" width="4.28515625" style="12" customWidth="1"/>
    <col min="5888" max="5888" width="5.28515625" style="12" customWidth="1"/>
    <col min="5889" max="5889" width="44.85546875" style="12" customWidth="1"/>
    <col min="5890" max="5890" width="13.7109375" style="12" customWidth="1"/>
    <col min="5891" max="5891" width="13.140625" style="12" customWidth="1"/>
    <col min="5892" max="5892" width="13.7109375" style="12" customWidth="1"/>
    <col min="5893" max="5894" width="9.5703125" style="12" customWidth="1"/>
    <col min="5895" max="5896" width="0" style="12" hidden="1" customWidth="1"/>
    <col min="5897" max="6142" width="9.140625" style="12"/>
    <col min="6143" max="6143" width="4.28515625" style="12" customWidth="1"/>
    <col min="6144" max="6144" width="5.28515625" style="12" customWidth="1"/>
    <col min="6145" max="6145" width="44.85546875" style="12" customWidth="1"/>
    <col min="6146" max="6146" width="13.7109375" style="12" customWidth="1"/>
    <col min="6147" max="6147" width="13.140625" style="12" customWidth="1"/>
    <col min="6148" max="6148" width="13.7109375" style="12" customWidth="1"/>
    <col min="6149" max="6150" width="9.5703125" style="12" customWidth="1"/>
    <col min="6151" max="6152" width="0" style="12" hidden="1" customWidth="1"/>
    <col min="6153" max="6398" width="9.140625" style="12"/>
    <col min="6399" max="6399" width="4.28515625" style="12" customWidth="1"/>
    <col min="6400" max="6400" width="5.28515625" style="12" customWidth="1"/>
    <col min="6401" max="6401" width="44.85546875" style="12" customWidth="1"/>
    <col min="6402" max="6402" width="13.7109375" style="12" customWidth="1"/>
    <col min="6403" max="6403" width="13.140625" style="12" customWidth="1"/>
    <col min="6404" max="6404" width="13.7109375" style="12" customWidth="1"/>
    <col min="6405" max="6406" width="9.5703125" style="12" customWidth="1"/>
    <col min="6407" max="6408" width="0" style="12" hidden="1" customWidth="1"/>
    <col min="6409" max="6654" width="9.140625" style="12"/>
    <col min="6655" max="6655" width="4.28515625" style="12" customWidth="1"/>
    <col min="6656" max="6656" width="5.28515625" style="12" customWidth="1"/>
    <col min="6657" max="6657" width="44.85546875" style="12" customWidth="1"/>
    <col min="6658" max="6658" width="13.7109375" style="12" customWidth="1"/>
    <col min="6659" max="6659" width="13.140625" style="12" customWidth="1"/>
    <col min="6660" max="6660" width="13.7109375" style="12" customWidth="1"/>
    <col min="6661" max="6662" width="9.5703125" style="12" customWidth="1"/>
    <col min="6663" max="6664" width="0" style="12" hidden="1" customWidth="1"/>
    <col min="6665" max="6910" width="9.140625" style="12"/>
    <col min="6911" max="6911" width="4.28515625" style="12" customWidth="1"/>
    <col min="6912" max="6912" width="5.28515625" style="12" customWidth="1"/>
    <col min="6913" max="6913" width="44.85546875" style="12" customWidth="1"/>
    <col min="6914" max="6914" width="13.7109375" style="12" customWidth="1"/>
    <col min="6915" max="6915" width="13.140625" style="12" customWidth="1"/>
    <col min="6916" max="6916" width="13.7109375" style="12" customWidth="1"/>
    <col min="6917" max="6918" width="9.5703125" style="12" customWidth="1"/>
    <col min="6919" max="6920" width="0" style="12" hidden="1" customWidth="1"/>
    <col min="6921" max="7166" width="9.140625" style="12"/>
    <col min="7167" max="7167" width="4.28515625" style="12" customWidth="1"/>
    <col min="7168" max="7168" width="5.28515625" style="12" customWidth="1"/>
    <col min="7169" max="7169" width="44.85546875" style="12" customWidth="1"/>
    <col min="7170" max="7170" width="13.7109375" style="12" customWidth="1"/>
    <col min="7171" max="7171" width="13.140625" style="12" customWidth="1"/>
    <col min="7172" max="7172" width="13.7109375" style="12" customWidth="1"/>
    <col min="7173" max="7174" width="9.5703125" style="12" customWidth="1"/>
    <col min="7175" max="7176" width="0" style="12" hidden="1" customWidth="1"/>
    <col min="7177" max="7422" width="9.140625" style="12"/>
    <col min="7423" max="7423" width="4.28515625" style="12" customWidth="1"/>
    <col min="7424" max="7424" width="5.28515625" style="12" customWidth="1"/>
    <col min="7425" max="7425" width="44.85546875" style="12" customWidth="1"/>
    <col min="7426" max="7426" width="13.7109375" style="12" customWidth="1"/>
    <col min="7427" max="7427" width="13.140625" style="12" customWidth="1"/>
    <col min="7428" max="7428" width="13.7109375" style="12" customWidth="1"/>
    <col min="7429" max="7430" width="9.5703125" style="12" customWidth="1"/>
    <col min="7431" max="7432" width="0" style="12" hidden="1" customWidth="1"/>
    <col min="7433" max="7678" width="9.140625" style="12"/>
    <col min="7679" max="7679" width="4.28515625" style="12" customWidth="1"/>
    <col min="7680" max="7680" width="5.28515625" style="12" customWidth="1"/>
    <col min="7681" max="7681" width="44.85546875" style="12" customWidth="1"/>
    <col min="7682" max="7682" width="13.7109375" style="12" customWidth="1"/>
    <col min="7683" max="7683" width="13.140625" style="12" customWidth="1"/>
    <col min="7684" max="7684" width="13.7109375" style="12" customWidth="1"/>
    <col min="7685" max="7686" width="9.5703125" style="12" customWidth="1"/>
    <col min="7687" max="7688" width="0" style="12" hidden="1" customWidth="1"/>
    <col min="7689" max="7934" width="9.140625" style="12"/>
    <col min="7935" max="7935" width="4.28515625" style="12" customWidth="1"/>
    <col min="7936" max="7936" width="5.28515625" style="12" customWidth="1"/>
    <col min="7937" max="7937" width="44.85546875" style="12" customWidth="1"/>
    <col min="7938" max="7938" width="13.7109375" style="12" customWidth="1"/>
    <col min="7939" max="7939" width="13.140625" style="12" customWidth="1"/>
    <col min="7940" max="7940" width="13.7109375" style="12" customWidth="1"/>
    <col min="7941" max="7942" width="9.5703125" style="12" customWidth="1"/>
    <col min="7943" max="7944" width="0" style="12" hidden="1" customWidth="1"/>
    <col min="7945" max="8190" width="9.140625" style="12"/>
    <col min="8191" max="8191" width="4.28515625" style="12" customWidth="1"/>
    <col min="8192" max="8192" width="5.28515625" style="12" customWidth="1"/>
    <col min="8193" max="8193" width="44.85546875" style="12" customWidth="1"/>
    <col min="8194" max="8194" width="13.7109375" style="12" customWidth="1"/>
    <col min="8195" max="8195" width="13.140625" style="12" customWidth="1"/>
    <col min="8196" max="8196" width="13.7109375" style="12" customWidth="1"/>
    <col min="8197" max="8198" width="9.5703125" style="12" customWidth="1"/>
    <col min="8199" max="8200" width="0" style="12" hidden="1" customWidth="1"/>
    <col min="8201" max="8446" width="9.140625" style="12"/>
    <col min="8447" max="8447" width="4.28515625" style="12" customWidth="1"/>
    <col min="8448" max="8448" width="5.28515625" style="12" customWidth="1"/>
    <col min="8449" max="8449" width="44.85546875" style="12" customWidth="1"/>
    <col min="8450" max="8450" width="13.7109375" style="12" customWidth="1"/>
    <col min="8451" max="8451" width="13.140625" style="12" customWidth="1"/>
    <col min="8452" max="8452" width="13.7109375" style="12" customWidth="1"/>
    <col min="8453" max="8454" width="9.5703125" style="12" customWidth="1"/>
    <col min="8455" max="8456" width="0" style="12" hidden="1" customWidth="1"/>
    <col min="8457" max="8702" width="9.140625" style="12"/>
    <col min="8703" max="8703" width="4.28515625" style="12" customWidth="1"/>
    <col min="8704" max="8704" width="5.28515625" style="12" customWidth="1"/>
    <col min="8705" max="8705" width="44.85546875" style="12" customWidth="1"/>
    <col min="8706" max="8706" width="13.7109375" style="12" customWidth="1"/>
    <col min="8707" max="8707" width="13.140625" style="12" customWidth="1"/>
    <col min="8708" max="8708" width="13.7109375" style="12" customWidth="1"/>
    <col min="8709" max="8710" width="9.5703125" style="12" customWidth="1"/>
    <col min="8711" max="8712" width="0" style="12" hidden="1" customWidth="1"/>
    <col min="8713" max="8958" width="9.140625" style="12"/>
    <col min="8959" max="8959" width="4.28515625" style="12" customWidth="1"/>
    <col min="8960" max="8960" width="5.28515625" style="12" customWidth="1"/>
    <col min="8961" max="8961" width="44.85546875" style="12" customWidth="1"/>
    <col min="8962" max="8962" width="13.7109375" style="12" customWidth="1"/>
    <col min="8963" max="8963" width="13.140625" style="12" customWidth="1"/>
    <col min="8964" max="8964" width="13.7109375" style="12" customWidth="1"/>
    <col min="8965" max="8966" width="9.5703125" style="12" customWidth="1"/>
    <col min="8967" max="8968" width="0" style="12" hidden="1" customWidth="1"/>
    <col min="8969" max="9214" width="9.140625" style="12"/>
    <col min="9215" max="9215" width="4.28515625" style="12" customWidth="1"/>
    <col min="9216" max="9216" width="5.28515625" style="12" customWidth="1"/>
    <col min="9217" max="9217" width="44.85546875" style="12" customWidth="1"/>
    <col min="9218" max="9218" width="13.7109375" style="12" customWidth="1"/>
    <col min="9219" max="9219" width="13.140625" style="12" customWidth="1"/>
    <col min="9220" max="9220" width="13.7109375" style="12" customWidth="1"/>
    <col min="9221" max="9222" width="9.5703125" style="12" customWidth="1"/>
    <col min="9223" max="9224" width="0" style="12" hidden="1" customWidth="1"/>
    <col min="9225" max="9470" width="9.140625" style="12"/>
    <col min="9471" max="9471" width="4.28515625" style="12" customWidth="1"/>
    <col min="9472" max="9472" width="5.28515625" style="12" customWidth="1"/>
    <col min="9473" max="9473" width="44.85546875" style="12" customWidth="1"/>
    <col min="9474" max="9474" width="13.7109375" style="12" customWidth="1"/>
    <col min="9475" max="9475" width="13.140625" style="12" customWidth="1"/>
    <col min="9476" max="9476" width="13.7109375" style="12" customWidth="1"/>
    <col min="9477" max="9478" width="9.5703125" style="12" customWidth="1"/>
    <col min="9479" max="9480" width="0" style="12" hidden="1" customWidth="1"/>
    <col min="9481" max="9726" width="9.140625" style="12"/>
    <col min="9727" max="9727" width="4.28515625" style="12" customWidth="1"/>
    <col min="9728" max="9728" width="5.28515625" style="12" customWidth="1"/>
    <col min="9729" max="9729" width="44.85546875" style="12" customWidth="1"/>
    <col min="9730" max="9730" width="13.7109375" style="12" customWidth="1"/>
    <col min="9731" max="9731" width="13.140625" style="12" customWidth="1"/>
    <col min="9732" max="9732" width="13.7109375" style="12" customWidth="1"/>
    <col min="9733" max="9734" width="9.5703125" style="12" customWidth="1"/>
    <col min="9735" max="9736" width="0" style="12" hidden="1" customWidth="1"/>
    <col min="9737" max="9982" width="9.140625" style="12"/>
    <col min="9983" max="9983" width="4.28515625" style="12" customWidth="1"/>
    <col min="9984" max="9984" width="5.28515625" style="12" customWidth="1"/>
    <col min="9985" max="9985" width="44.85546875" style="12" customWidth="1"/>
    <col min="9986" max="9986" width="13.7109375" style="12" customWidth="1"/>
    <col min="9987" max="9987" width="13.140625" style="12" customWidth="1"/>
    <col min="9988" max="9988" width="13.7109375" style="12" customWidth="1"/>
    <col min="9989" max="9990" width="9.5703125" style="12" customWidth="1"/>
    <col min="9991" max="9992" width="0" style="12" hidden="1" customWidth="1"/>
    <col min="9993" max="10238" width="9.140625" style="12"/>
    <col min="10239" max="10239" width="4.28515625" style="12" customWidth="1"/>
    <col min="10240" max="10240" width="5.28515625" style="12" customWidth="1"/>
    <col min="10241" max="10241" width="44.85546875" style="12" customWidth="1"/>
    <col min="10242" max="10242" width="13.7109375" style="12" customWidth="1"/>
    <col min="10243" max="10243" width="13.140625" style="12" customWidth="1"/>
    <col min="10244" max="10244" width="13.7109375" style="12" customWidth="1"/>
    <col min="10245" max="10246" width="9.5703125" style="12" customWidth="1"/>
    <col min="10247" max="10248" width="0" style="12" hidden="1" customWidth="1"/>
    <col min="10249" max="10494" width="9.140625" style="12"/>
    <col min="10495" max="10495" width="4.28515625" style="12" customWidth="1"/>
    <col min="10496" max="10496" width="5.28515625" style="12" customWidth="1"/>
    <col min="10497" max="10497" width="44.85546875" style="12" customWidth="1"/>
    <col min="10498" max="10498" width="13.7109375" style="12" customWidth="1"/>
    <col min="10499" max="10499" width="13.140625" style="12" customWidth="1"/>
    <col min="10500" max="10500" width="13.7109375" style="12" customWidth="1"/>
    <col min="10501" max="10502" width="9.5703125" style="12" customWidth="1"/>
    <col min="10503" max="10504" width="0" style="12" hidden="1" customWidth="1"/>
    <col min="10505" max="10750" width="9.140625" style="12"/>
    <col min="10751" max="10751" width="4.28515625" style="12" customWidth="1"/>
    <col min="10752" max="10752" width="5.28515625" style="12" customWidth="1"/>
    <col min="10753" max="10753" width="44.85546875" style="12" customWidth="1"/>
    <col min="10754" max="10754" width="13.7109375" style="12" customWidth="1"/>
    <col min="10755" max="10755" width="13.140625" style="12" customWidth="1"/>
    <col min="10756" max="10756" width="13.7109375" style="12" customWidth="1"/>
    <col min="10757" max="10758" width="9.5703125" style="12" customWidth="1"/>
    <col min="10759" max="10760" width="0" style="12" hidden="1" customWidth="1"/>
    <col min="10761" max="11006" width="9.140625" style="12"/>
    <col min="11007" max="11007" width="4.28515625" style="12" customWidth="1"/>
    <col min="11008" max="11008" width="5.28515625" style="12" customWidth="1"/>
    <col min="11009" max="11009" width="44.85546875" style="12" customWidth="1"/>
    <col min="11010" max="11010" width="13.7109375" style="12" customWidth="1"/>
    <col min="11011" max="11011" width="13.140625" style="12" customWidth="1"/>
    <col min="11012" max="11012" width="13.7109375" style="12" customWidth="1"/>
    <col min="11013" max="11014" width="9.5703125" style="12" customWidth="1"/>
    <col min="11015" max="11016" width="0" style="12" hidden="1" customWidth="1"/>
    <col min="11017" max="11262" width="9.140625" style="12"/>
    <col min="11263" max="11263" width="4.28515625" style="12" customWidth="1"/>
    <col min="11264" max="11264" width="5.28515625" style="12" customWidth="1"/>
    <col min="11265" max="11265" width="44.85546875" style="12" customWidth="1"/>
    <col min="11266" max="11266" width="13.7109375" style="12" customWidth="1"/>
    <col min="11267" max="11267" width="13.140625" style="12" customWidth="1"/>
    <col min="11268" max="11268" width="13.7109375" style="12" customWidth="1"/>
    <col min="11269" max="11270" width="9.5703125" style="12" customWidth="1"/>
    <col min="11271" max="11272" width="0" style="12" hidden="1" customWidth="1"/>
    <col min="11273" max="11518" width="9.140625" style="12"/>
    <col min="11519" max="11519" width="4.28515625" style="12" customWidth="1"/>
    <col min="11520" max="11520" width="5.28515625" style="12" customWidth="1"/>
    <col min="11521" max="11521" width="44.85546875" style="12" customWidth="1"/>
    <col min="11522" max="11522" width="13.7109375" style="12" customWidth="1"/>
    <col min="11523" max="11523" width="13.140625" style="12" customWidth="1"/>
    <col min="11524" max="11524" width="13.7109375" style="12" customWidth="1"/>
    <col min="11525" max="11526" width="9.5703125" style="12" customWidth="1"/>
    <col min="11527" max="11528" width="0" style="12" hidden="1" customWidth="1"/>
    <col min="11529" max="11774" width="9.140625" style="12"/>
    <col min="11775" max="11775" width="4.28515625" style="12" customWidth="1"/>
    <col min="11776" max="11776" width="5.28515625" style="12" customWidth="1"/>
    <col min="11777" max="11777" width="44.85546875" style="12" customWidth="1"/>
    <col min="11778" max="11778" width="13.7109375" style="12" customWidth="1"/>
    <col min="11779" max="11779" width="13.140625" style="12" customWidth="1"/>
    <col min="11780" max="11780" width="13.7109375" style="12" customWidth="1"/>
    <col min="11781" max="11782" width="9.5703125" style="12" customWidth="1"/>
    <col min="11783" max="11784" width="0" style="12" hidden="1" customWidth="1"/>
    <col min="11785" max="12030" width="9.140625" style="12"/>
    <col min="12031" max="12031" width="4.28515625" style="12" customWidth="1"/>
    <col min="12032" max="12032" width="5.28515625" style="12" customWidth="1"/>
    <col min="12033" max="12033" width="44.85546875" style="12" customWidth="1"/>
    <col min="12034" max="12034" width="13.7109375" style="12" customWidth="1"/>
    <col min="12035" max="12035" width="13.140625" style="12" customWidth="1"/>
    <col min="12036" max="12036" width="13.7109375" style="12" customWidth="1"/>
    <col min="12037" max="12038" width="9.5703125" style="12" customWidth="1"/>
    <col min="12039" max="12040" width="0" style="12" hidden="1" customWidth="1"/>
    <col min="12041" max="12286" width="9.140625" style="12"/>
    <col min="12287" max="12287" width="4.28515625" style="12" customWidth="1"/>
    <col min="12288" max="12288" width="5.28515625" style="12" customWidth="1"/>
    <col min="12289" max="12289" width="44.85546875" style="12" customWidth="1"/>
    <col min="12290" max="12290" width="13.7109375" style="12" customWidth="1"/>
    <col min="12291" max="12291" width="13.140625" style="12" customWidth="1"/>
    <col min="12292" max="12292" width="13.7109375" style="12" customWidth="1"/>
    <col min="12293" max="12294" width="9.5703125" style="12" customWidth="1"/>
    <col min="12295" max="12296" width="0" style="12" hidden="1" customWidth="1"/>
    <col min="12297" max="12542" width="9.140625" style="12"/>
    <col min="12543" max="12543" width="4.28515625" style="12" customWidth="1"/>
    <col min="12544" max="12544" width="5.28515625" style="12" customWidth="1"/>
    <col min="12545" max="12545" width="44.85546875" style="12" customWidth="1"/>
    <col min="12546" max="12546" width="13.7109375" style="12" customWidth="1"/>
    <col min="12547" max="12547" width="13.140625" style="12" customWidth="1"/>
    <col min="12548" max="12548" width="13.7109375" style="12" customWidth="1"/>
    <col min="12549" max="12550" width="9.5703125" style="12" customWidth="1"/>
    <col min="12551" max="12552" width="0" style="12" hidden="1" customWidth="1"/>
    <col min="12553" max="12798" width="9.140625" style="12"/>
    <col min="12799" max="12799" width="4.28515625" style="12" customWidth="1"/>
    <col min="12800" max="12800" width="5.28515625" style="12" customWidth="1"/>
    <col min="12801" max="12801" width="44.85546875" style="12" customWidth="1"/>
    <col min="12802" max="12802" width="13.7109375" style="12" customWidth="1"/>
    <col min="12803" max="12803" width="13.140625" style="12" customWidth="1"/>
    <col min="12804" max="12804" width="13.7109375" style="12" customWidth="1"/>
    <col min="12805" max="12806" width="9.5703125" style="12" customWidth="1"/>
    <col min="12807" max="12808" width="0" style="12" hidden="1" customWidth="1"/>
    <col min="12809" max="13054" width="9.140625" style="12"/>
    <col min="13055" max="13055" width="4.28515625" style="12" customWidth="1"/>
    <col min="13056" max="13056" width="5.28515625" style="12" customWidth="1"/>
    <col min="13057" max="13057" width="44.85546875" style="12" customWidth="1"/>
    <col min="13058" max="13058" width="13.7109375" style="12" customWidth="1"/>
    <col min="13059" max="13059" width="13.140625" style="12" customWidth="1"/>
    <col min="13060" max="13060" width="13.7109375" style="12" customWidth="1"/>
    <col min="13061" max="13062" width="9.5703125" style="12" customWidth="1"/>
    <col min="13063" max="13064" width="0" style="12" hidden="1" customWidth="1"/>
    <col min="13065" max="13310" width="9.140625" style="12"/>
    <col min="13311" max="13311" width="4.28515625" style="12" customWidth="1"/>
    <col min="13312" max="13312" width="5.28515625" style="12" customWidth="1"/>
    <col min="13313" max="13313" width="44.85546875" style="12" customWidth="1"/>
    <col min="13314" max="13314" width="13.7109375" style="12" customWidth="1"/>
    <col min="13315" max="13315" width="13.140625" style="12" customWidth="1"/>
    <col min="13316" max="13316" width="13.7109375" style="12" customWidth="1"/>
    <col min="13317" max="13318" width="9.5703125" style="12" customWidth="1"/>
    <col min="13319" max="13320" width="0" style="12" hidden="1" customWidth="1"/>
    <col min="13321" max="13566" width="9.140625" style="12"/>
    <col min="13567" max="13567" width="4.28515625" style="12" customWidth="1"/>
    <col min="13568" max="13568" width="5.28515625" style="12" customWidth="1"/>
    <col min="13569" max="13569" width="44.85546875" style="12" customWidth="1"/>
    <col min="13570" max="13570" width="13.7109375" style="12" customWidth="1"/>
    <col min="13571" max="13571" width="13.140625" style="12" customWidth="1"/>
    <col min="13572" max="13572" width="13.7109375" style="12" customWidth="1"/>
    <col min="13573" max="13574" width="9.5703125" style="12" customWidth="1"/>
    <col min="13575" max="13576" width="0" style="12" hidden="1" customWidth="1"/>
    <col min="13577" max="13822" width="9.140625" style="12"/>
    <col min="13823" max="13823" width="4.28515625" style="12" customWidth="1"/>
    <col min="13824" max="13824" width="5.28515625" style="12" customWidth="1"/>
    <col min="13825" max="13825" width="44.85546875" style="12" customWidth="1"/>
    <col min="13826" max="13826" width="13.7109375" style="12" customWidth="1"/>
    <col min="13827" max="13827" width="13.140625" style="12" customWidth="1"/>
    <col min="13828" max="13828" width="13.7109375" style="12" customWidth="1"/>
    <col min="13829" max="13830" width="9.5703125" style="12" customWidth="1"/>
    <col min="13831" max="13832" width="0" style="12" hidden="1" customWidth="1"/>
    <col min="13833" max="14078" width="9.140625" style="12"/>
    <col min="14079" max="14079" width="4.28515625" style="12" customWidth="1"/>
    <col min="14080" max="14080" width="5.28515625" style="12" customWidth="1"/>
    <col min="14081" max="14081" width="44.85546875" style="12" customWidth="1"/>
    <col min="14082" max="14082" width="13.7109375" style="12" customWidth="1"/>
    <col min="14083" max="14083" width="13.140625" style="12" customWidth="1"/>
    <col min="14084" max="14084" width="13.7109375" style="12" customWidth="1"/>
    <col min="14085" max="14086" width="9.5703125" style="12" customWidth="1"/>
    <col min="14087" max="14088" width="0" style="12" hidden="1" customWidth="1"/>
    <col min="14089" max="14334" width="9.140625" style="12"/>
    <col min="14335" max="14335" width="4.28515625" style="12" customWidth="1"/>
    <col min="14336" max="14336" width="5.28515625" style="12" customWidth="1"/>
    <col min="14337" max="14337" width="44.85546875" style="12" customWidth="1"/>
    <col min="14338" max="14338" width="13.7109375" style="12" customWidth="1"/>
    <col min="14339" max="14339" width="13.140625" style="12" customWidth="1"/>
    <col min="14340" max="14340" width="13.7109375" style="12" customWidth="1"/>
    <col min="14341" max="14342" width="9.5703125" style="12" customWidth="1"/>
    <col min="14343" max="14344" width="0" style="12" hidden="1" customWidth="1"/>
    <col min="14345" max="14590" width="9.140625" style="12"/>
    <col min="14591" max="14591" width="4.28515625" style="12" customWidth="1"/>
    <col min="14592" max="14592" width="5.28515625" style="12" customWidth="1"/>
    <col min="14593" max="14593" width="44.85546875" style="12" customWidth="1"/>
    <col min="14594" max="14594" width="13.7109375" style="12" customWidth="1"/>
    <col min="14595" max="14595" width="13.140625" style="12" customWidth="1"/>
    <col min="14596" max="14596" width="13.7109375" style="12" customWidth="1"/>
    <col min="14597" max="14598" width="9.5703125" style="12" customWidth="1"/>
    <col min="14599" max="14600" width="0" style="12" hidden="1" customWidth="1"/>
    <col min="14601" max="14846" width="9.140625" style="12"/>
    <col min="14847" max="14847" width="4.28515625" style="12" customWidth="1"/>
    <col min="14848" max="14848" width="5.28515625" style="12" customWidth="1"/>
    <col min="14849" max="14849" width="44.85546875" style="12" customWidth="1"/>
    <col min="14850" max="14850" width="13.7109375" style="12" customWidth="1"/>
    <col min="14851" max="14851" width="13.140625" style="12" customWidth="1"/>
    <col min="14852" max="14852" width="13.7109375" style="12" customWidth="1"/>
    <col min="14853" max="14854" width="9.5703125" style="12" customWidth="1"/>
    <col min="14855" max="14856" width="0" style="12" hidden="1" customWidth="1"/>
    <col min="14857" max="15102" width="9.140625" style="12"/>
    <col min="15103" max="15103" width="4.28515625" style="12" customWidth="1"/>
    <col min="15104" max="15104" width="5.28515625" style="12" customWidth="1"/>
    <col min="15105" max="15105" width="44.85546875" style="12" customWidth="1"/>
    <col min="15106" max="15106" width="13.7109375" style="12" customWidth="1"/>
    <col min="15107" max="15107" width="13.140625" style="12" customWidth="1"/>
    <col min="15108" max="15108" width="13.7109375" style="12" customWidth="1"/>
    <col min="15109" max="15110" width="9.5703125" style="12" customWidth="1"/>
    <col min="15111" max="15112" width="0" style="12" hidden="1" customWidth="1"/>
    <col min="15113" max="15358" width="9.140625" style="12"/>
    <col min="15359" max="15359" width="4.28515625" style="12" customWidth="1"/>
    <col min="15360" max="15360" width="5.28515625" style="12" customWidth="1"/>
    <col min="15361" max="15361" width="44.85546875" style="12" customWidth="1"/>
    <col min="15362" max="15362" width="13.7109375" style="12" customWidth="1"/>
    <col min="15363" max="15363" width="13.140625" style="12" customWidth="1"/>
    <col min="15364" max="15364" width="13.7109375" style="12" customWidth="1"/>
    <col min="15365" max="15366" width="9.5703125" style="12" customWidth="1"/>
    <col min="15367" max="15368" width="0" style="12" hidden="1" customWidth="1"/>
    <col min="15369" max="15614" width="9.140625" style="12"/>
    <col min="15615" max="15615" width="4.28515625" style="12" customWidth="1"/>
    <col min="15616" max="15616" width="5.28515625" style="12" customWidth="1"/>
    <col min="15617" max="15617" width="44.85546875" style="12" customWidth="1"/>
    <col min="15618" max="15618" width="13.7109375" style="12" customWidth="1"/>
    <col min="15619" max="15619" width="13.140625" style="12" customWidth="1"/>
    <col min="15620" max="15620" width="13.7109375" style="12" customWidth="1"/>
    <col min="15621" max="15622" width="9.5703125" style="12" customWidth="1"/>
    <col min="15623" max="15624" width="0" style="12" hidden="1" customWidth="1"/>
    <col min="15625" max="15870" width="9.140625" style="12"/>
    <col min="15871" max="15871" width="4.28515625" style="12" customWidth="1"/>
    <col min="15872" max="15872" width="5.28515625" style="12" customWidth="1"/>
    <col min="15873" max="15873" width="44.85546875" style="12" customWidth="1"/>
    <col min="15874" max="15874" width="13.7109375" style="12" customWidth="1"/>
    <col min="15875" max="15875" width="13.140625" style="12" customWidth="1"/>
    <col min="15876" max="15876" width="13.7109375" style="12" customWidth="1"/>
    <col min="15877" max="15878" width="9.5703125" style="12" customWidth="1"/>
    <col min="15879" max="15880" width="0" style="12" hidden="1" customWidth="1"/>
    <col min="15881" max="16126" width="9.140625" style="12"/>
    <col min="16127" max="16127" width="4.28515625" style="12" customWidth="1"/>
    <col min="16128" max="16128" width="5.28515625" style="12" customWidth="1"/>
    <col min="16129" max="16129" width="44.85546875" style="12" customWidth="1"/>
    <col min="16130" max="16130" width="13.7109375" style="12" customWidth="1"/>
    <col min="16131" max="16131" width="13.140625" style="12" customWidth="1"/>
    <col min="16132" max="16132" width="13.7109375" style="12" customWidth="1"/>
    <col min="16133" max="16134" width="9.5703125" style="12" customWidth="1"/>
    <col min="16135" max="16136" width="0" style="12" hidden="1" customWidth="1"/>
    <col min="16137" max="16380" width="9.140625" style="12"/>
    <col min="16381" max="16384" width="9.140625" style="12" customWidth="1"/>
  </cols>
  <sheetData>
    <row r="1" spans="1:6">
      <c r="A1" s="138" t="str">
        <f>SAŽETAK!A1</f>
        <v>FINANCIJSKI PLAN OSNOVNE ŠKOLE ANTUNA MASLE - ORAŠAC ZA 2026. I PROJEKCIJA ZA 2027. I 2028. GODINU</v>
      </c>
      <c r="B1" s="138"/>
      <c r="C1" s="138"/>
      <c r="D1" s="138"/>
      <c r="E1" s="138"/>
      <c r="F1" s="138"/>
    </row>
    <row r="3" spans="1:6" ht="18.75">
      <c r="A3" s="137" t="s">
        <v>88</v>
      </c>
      <c r="B3" s="137"/>
      <c r="C3" s="137"/>
      <c r="D3" s="137"/>
      <c r="E3" s="137"/>
      <c r="F3" s="137"/>
    </row>
    <row r="4" spans="1:6" ht="16.5" thickBot="1">
      <c r="A4" s="135" t="s">
        <v>173</v>
      </c>
      <c r="B4" s="135"/>
      <c r="C4" s="135"/>
      <c r="D4" s="135"/>
      <c r="E4" s="135"/>
      <c r="F4" s="135"/>
    </row>
    <row r="5" spans="1:6" ht="26.25" thickBot="1">
      <c r="A5" s="15" t="s">
        <v>0</v>
      </c>
      <c r="B5" s="15" t="s">
        <v>91</v>
      </c>
      <c r="C5" s="15" t="s">
        <v>169</v>
      </c>
      <c r="D5" s="15" t="s">
        <v>170</v>
      </c>
      <c r="E5" s="15" t="s">
        <v>171</v>
      </c>
      <c r="F5" s="15" t="s">
        <v>172</v>
      </c>
    </row>
    <row r="6" spans="1:6">
      <c r="A6" s="22" t="s">
        <v>237</v>
      </c>
      <c r="B6" s="93">
        <f>SUM(B7+B9+B11+B15+B17+B19+B21+B23+B13)</f>
        <v>1190391.51</v>
      </c>
      <c r="C6" s="93">
        <f>SUM(C7+C9+C11+C13+C15+C17+C19+C21+C23+C14)</f>
        <v>1407969</v>
      </c>
      <c r="D6" s="93">
        <f>SUM(D7+D9+D11+D13+D15+D17+D19+D21+D23)</f>
        <v>1348900</v>
      </c>
      <c r="E6" s="93">
        <f t="shared" ref="E6:F6" si="0">SUM(E7+E9+E11+E13+E15+E17+E19+E21+E23)</f>
        <v>1348900</v>
      </c>
      <c r="F6" s="93">
        <f t="shared" si="0"/>
        <v>1348900</v>
      </c>
    </row>
    <row r="7" spans="1:6">
      <c r="A7" s="23" t="s">
        <v>57</v>
      </c>
      <c r="B7" s="96">
        <f t="shared" ref="B7" si="1">SUM(B8)</f>
        <v>79773.66</v>
      </c>
      <c r="C7" s="96">
        <f>C8</f>
        <v>138848</v>
      </c>
      <c r="D7" s="96">
        <f t="shared" ref="D7:F7" si="2">D8</f>
        <v>95608</v>
      </c>
      <c r="E7" s="96">
        <f t="shared" si="2"/>
        <v>95608</v>
      </c>
      <c r="F7" s="96">
        <f t="shared" si="2"/>
        <v>95608</v>
      </c>
    </row>
    <row r="8" spans="1:6">
      <c r="A8" s="20" t="s">
        <v>174</v>
      </c>
      <c r="B8" s="95">
        <v>79773.66</v>
      </c>
      <c r="C8" s="95">
        <v>138848</v>
      </c>
      <c r="D8" s="95">
        <v>95608</v>
      </c>
      <c r="E8" s="95">
        <v>95608</v>
      </c>
      <c r="F8" s="95">
        <v>95608</v>
      </c>
    </row>
    <row r="9" spans="1:6">
      <c r="A9" s="23" t="s">
        <v>175</v>
      </c>
      <c r="B9" s="96">
        <f t="shared" ref="B9" si="3">SUM(B10)</f>
        <v>4270</v>
      </c>
      <c r="C9" s="96"/>
      <c r="D9" s="96"/>
      <c r="E9" s="96"/>
      <c r="F9" s="96"/>
    </row>
    <row r="10" spans="1:6">
      <c r="A10" s="20" t="s">
        <v>174</v>
      </c>
      <c r="B10" s="95">
        <v>4270</v>
      </c>
      <c r="C10" s="95"/>
      <c r="D10" s="95"/>
      <c r="E10" s="95"/>
      <c r="F10" s="95"/>
    </row>
    <row r="11" spans="1:6">
      <c r="A11" s="23" t="s">
        <v>176</v>
      </c>
      <c r="B11" s="96">
        <v>11.44</v>
      </c>
      <c r="C11" s="96"/>
      <c r="D11" s="96"/>
      <c r="E11" s="96"/>
      <c r="F11" s="96"/>
    </row>
    <row r="12" spans="1:6">
      <c r="A12" s="20" t="s">
        <v>100</v>
      </c>
      <c r="B12" s="95">
        <v>11.44</v>
      </c>
      <c r="C12" s="95"/>
      <c r="D12" s="95"/>
      <c r="E12" s="95"/>
      <c r="F12" s="95"/>
    </row>
    <row r="13" spans="1:6">
      <c r="A13" s="23" t="s">
        <v>241</v>
      </c>
      <c r="B13" s="96"/>
      <c r="C13" s="96"/>
      <c r="D13" s="96"/>
      <c r="E13" s="96"/>
      <c r="F13" s="96"/>
    </row>
    <row r="14" spans="1:6">
      <c r="A14" s="20" t="s">
        <v>177</v>
      </c>
      <c r="B14" s="95">
        <v>0</v>
      </c>
      <c r="C14" s="95">
        <v>17310</v>
      </c>
      <c r="D14" s="95"/>
      <c r="E14" s="95"/>
      <c r="F14" s="95"/>
    </row>
    <row r="15" spans="1:6">
      <c r="A15" s="23" t="s">
        <v>3</v>
      </c>
      <c r="B15" s="96">
        <f t="shared" ref="B15" si="4">SUM(B16)</f>
        <v>63000</v>
      </c>
      <c r="C15" s="96">
        <f>C16</f>
        <v>66000</v>
      </c>
      <c r="D15" s="96">
        <f t="shared" ref="D15:F15" si="5">D16</f>
        <v>66000</v>
      </c>
      <c r="E15" s="96">
        <f t="shared" si="5"/>
        <v>66000</v>
      </c>
      <c r="F15" s="96">
        <f t="shared" si="5"/>
        <v>66000</v>
      </c>
    </row>
    <row r="16" spans="1:6">
      <c r="A16" s="20" t="s">
        <v>174</v>
      </c>
      <c r="B16" s="95">
        <v>63000</v>
      </c>
      <c r="C16" s="95">
        <v>66000</v>
      </c>
      <c r="D16" s="95">
        <v>66000</v>
      </c>
      <c r="E16" s="95">
        <v>66000</v>
      </c>
      <c r="F16" s="95">
        <v>66000</v>
      </c>
    </row>
    <row r="17" spans="1:9">
      <c r="A17" s="23" t="s">
        <v>78</v>
      </c>
      <c r="B17" s="96">
        <f t="shared" ref="B17" si="6">SUM(B18)</f>
        <v>65</v>
      </c>
      <c r="C17" s="96">
        <f>C18</f>
        <v>85</v>
      </c>
      <c r="D17" s="96">
        <f t="shared" ref="D17:F17" si="7">D18</f>
        <v>85</v>
      </c>
      <c r="E17" s="96">
        <f t="shared" si="7"/>
        <v>85</v>
      </c>
      <c r="F17" s="96">
        <f t="shared" si="7"/>
        <v>85</v>
      </c>
    </row>
    <row r="18" spans="1:9">
      <c r="A18" s="20" t="s">
        <v>174</v>
      </c>
      <c r="B18" s="95">
        <v>65</v>
      </c>
      <c r="C18" s="95">
        <v>85</v>
      </c>
      <c r="D18" s="95">
        <v>85</v>
      </c>
      <c r="E18" s="95">
        <v>85</v>
      </c>
      <c r="F18" s="95">
        <v>85</v>
      </c>
    </row>
    <row r="19" spans="1:9">
      <c r="A19" s="23" t="s">
        <v>246</v>
      </c>
      <c r="B19" s="96">
        <f t="shared" ref="B19" si="8">SUM(B20)</f>
        <v>6972.08</v>
      </c>
      <c r="C19" s="96">
        <f>C20</f>
        <v>10970</v>
      </c>
      <c r="D19" s="96">
        <f t="shared" ref="D19:F19" si="9">D20</f>
        <v>25027</v>
      </c>
      <c r="E19" s="96">
        <f t="shared" si="9"/>
        <v>25027</v>
      </c>
      <c r="F19" s="96">
        <f t="shared" si="9"/>
        <v>25027</v>
      </c>
    </row>
    <row r="20" spans="1:9">
      <c r="A20" s="20" t="s">
        <v>174</v>
      </c>
      <c r="B20" s="95">
        <v>6972.08</v>
      </c>
      <c r="C20" s="95">
        <v>10970</v>
      </c>
      <c r="D20" s="95">
        <f>23312+1715</f>
        <v>25027</v>
      </c>
      <c r="E20" s="95">
        <f t="shared" ref="E20:F20" si="10">23312+1715</f>
        <v>25027</v>
      </c>
      <c r="F20" s="95">
        <f t="shared" si="10"/>
        <v>25027</v>
      </c>
    </row>
    <row r="21" spans="1:9" ht="25.5">
      <c r="A21" s="23" t="s">
        <v>46</v>
      </c>
      <c r="B21" s="96">
        <v>932502.24</v>
      </c>
      <c r="C21" s="96">
        <f>C22</f>
        <v>1075000</v>
      </c>
      <c r="D21" s="96">
        <f t="shared" ref="D21:F21" si="11">D22</f>
        <v>1075000</v>
      </c>
      <c r="E21" s="96">
        <f t="shared" si="11"/>
        <v>1075000</v>
      </c>
      <c r="F21" s="96">
        <f t="shared" si="11"/>
        <v>1075000</v>
      </c>
    </row>
    <row r="22" spans="1:9">
      <c r="A22" s="20" t="s">
        <v>96</v>
      </c>
      <c r="B22" s="95">
        <v>932502.24</v>
      </c>
      <c r="C22" s="95">
        <v>1075000</v>
      </c>
      <c r="D22" s="95">
        <v>1075000</v>
      </c>
      <c r="E22" s="95">
        <v>1075000</v>
      </c>
      <c r="F22" s="95">
        <v>1075000</v>
      </c>
    </row>
    <row r="23" spans="1:9">
      <c r="A23" s="23" t="s">
        <v>61</v>
      </c>
      <c r="B23" s="96">
        <v>103797.09</v>
      </c>
      <c r="C23" s="96">
        <f>SUM(C24:C28)</f>
        <v>99756</v>
      </c>
      <c r="D23" s="96">
        <f t="shared" ref="D23:F23" si="12">SUM(D24:D28)</f>
        <v>87180</v>
      </c>
      <c r="E23" s="96">
        <f t="shared" si="12"/>
        <v>87180</v>
      </c>
      <c r="F23" s="96">
        <f t="shared" si="12"/>
        <v>87180</v>
      </c>
    </row>
    <row r="24" spans="1:9">
      <c r="A24" s="20" t="s">
        <v>94</v>
      </c>
      <c r="B24" s="95">
        <v>24511.439999999999</v>
      </c>
      <c r="C24" s="95"/>
      <c r="D24" s="95"/>
      <c r="E24" s="95"/>
      <c r="F24" s="95"/>
    </row>
    <row r="25" spans="1:9">
      <c r="A25" s="20" t="s">
        <v>96</v>
      </c>
      <c r="B25" s="95">
        <v>63471.96</v>
      </c>
      <c r="C25" s="95">
        <f>63356+14300</f>
        <v>77656</v>
      </c>
      <c r="D25" s="95">
        <f>58350+11000</f>
        <v>69350</v>
      </c>
      <c r="E25" s="95">
        <f t="shared" ref="E25:F25" si="13">58350+11000</f>
        <v>69350</v>
      </c>
      <c r="F25" s="95">
        <f t="shared" si="13"/>
        <v>69350</v>
      </c>
    </row>
    <row r="26" spans="1:9">
      <c r="A26" s="20" t="s">
        <v>103</v>
      </c>
      <c r="B26" s="95">
        <v>15160.43</v>
      </c>
      <c r="C26" s="95">
        <v>22000</v>
      </c>
      <c r="D26" s="95">
        <v>17730</v>
      </c>
      <c r="E26" s="95">
        <v>17730</v>
      </c>
      <c r="F26" s="95">
        <v>17730</v>
      </c>
    </row>
    <row r="27" spans="1:9">
      <c r="A27" s="20" t="s">
        <v>110</v>
      </c>
      <c r="B27" s="95">
        <v>48.36</v>
      </c>
      <c r="C27" s="95">
        <v>100</v>
      </c>
      <c r="D27" s="95">
        <v>100</v>
      </c>
      <c r="E27" s="95">
        <v>100</v>
      </c>
      <c r="F27" s="95">
        <v>100</v>
      </c>
    </row>
    <row r="28" spans="1:9">
      <c r="A28" s="20" t="s">
        <v>114</v>
      </c>
      <c r="B28" s="95">
        <v>604.9</v>
      </c>
      <c r="C28" s="95"/>
      <c r="D28" s="95"/>
      <c r="E28" s="95"/>
      <c r="F28" s="95"/>
    </row>
    <row r="29" spans="1:9">
      <c r="A29" s="22" t="s">
        <v>236</v>
      </c>
      <c r="B29" s="93">
        <v>1171181.29</v>
      </c>
      <c r="C29" s="93">
        <f>SUM(C30+C38+C41+C49+C57+C59+C65+C71)</f>
        <v>1407969</v>
      </c>
      <c r="D29" s="93">
        <f t="shared" ref="D29:F29" si="14">SUM(D30+D38+D41+D49+D57+D59+D65+D71)</f>
        <v>1348900</v>
      </c>
      <c r="E29" s="93">
        <f t="shared" si="14"/>
        <v>1348900</v>
      </c>
      <c r="F29" s="93">
        <f t="shared" si="14"/>
        <v>1348900</v>
      </c>
      <c r="I29" s="100"/>
    </row>
    <row r="30" spans="1:9">
      <c r="A30" s="23" t="s">
        <v>57</v>
      </c>
      <c r="B30" s="96">
        <v>79773.66</v>
      </c>
      <c r="C30" s="96">
        <f>SUM(C31:C37)</f>
        <v>138848</v>
      </c>
      <c r="D30" s="96">
        <f t="shared" ref="D30:F30" si="15">SUM(D31:D37)</f>
        <v>95608</v>
      </c>
      <c r="E30" s="96">
        <f>SUM(E31:E37)</f>
        <v>95608</v>
      </c>
      <c r="F30" s="96">
        <f t="shared" si="15"/>
        <v>95608</v>
      </c>
    </row>
    <row r="31" spans="1:9">
      <c r="A31" s="20" t="s">
        <v>119</v>
      </c>
      <c r="B31" s="95">
        <v>47321.2</v>
      </c>
      <c r="C31" s="95">
        <v>75200</v>
      </c>
      <c r="D31" s="95">
        <v>68895</v>
      </c>
      <c r="E31" s="95">
        <v>68895</v>
      </c>
      <c r="F31" s="95">
        <v>68895</v>
      </c>
    </row>
    <row r="32" spans="1:9">
      <c r="A32" s="20" t="s">
        <v>121</v>
      </c>
      <c r="B32" s="95">
        <v>3200</v>
      </c>
      <c r="C32" s="95">
        <v>5100</v>
      </c>
      <c r="D32" s="95">
        <v>4200</v>
      </c>
      <c r="E32" s="95">
        <v>4200</v>
      </c>
      <c r="F32" s="95">
        <v>4200</v>
      </c>
    </row>
    <row r="33" spans="1:6">
      <c r="A33" s="20" t="s">
        <v>123</v>
      </c>
      <c r="B33" s="95">
        <v>7587.94</v>
      </c>
      <c r="C33" s="95">
        <v>12380</v>
      </c>
      <c r="D33" s="95">
        <v>11443</v>
      </c>
      <c r="E33" s="95">
        <v>11443</v>
      </c>
      <c r="F33" s="95">
        <v>11443</v>
      </c>
    </row>
    <row r="34" spans="1:6">
      <c r="A34" s="20" t="s">
        <v>126</v>
      </c>
      <c r="B34" s="95">
        <v>1434.27</v>
      </c>
      <c r="C34" s="95">
        <v>3745</v>
      </c>
      <c r="D34" s="95">
        <v>2920</v>
      </c>
      <c r="E34" s="95">
        <v>2920</v>
      </c>
      <c r="F34" s="95">
        <v>2920</v>
      </c>
    </row>
    <row r="35" spans="1:6">
      <c r="A35" s="20" t="s">
        <v>131</v>
      </c>
      <c r="B35" s="95">
        <v>133.33000000000001</v>
      </c>
      <c r="C35" s="95">
        <v>415</v>
      </c>
      <c r="D35" s="95">
        <v>200</v>
      </c>
      <c r="E35" s="95">
        <v>200</v>
      </c>
      <c r="F35" s="95">
        <v>200</v>
      </c>
    </row>
    <row r="36" spans="1:6">
      <c r="A36" s="20" t="s">
        <v>137</v>
      </c>
      <c r="B36" s="95">
        <v>4000</v>
      </c>
      <c r="C36" s="95">
        <v>25002</v>
      </c>
      <c r="D36" s="95">
        <v>5950</v>
      </c>
      <c r="E36" s="95">
        <v>5950</v>
      </c>
      <c r="F36" s="95">
        <v>5950</v>
      </c>
    </row>
    <row r="37" spans="1:6">
      <c r="A37" s="20" t="s">
        <v>156</v>
      </c>
      <c r="B37" s="95">
        <v>16096.92</v>
      </c>
      <c r="C37" s="95">
        <v>17006</v>
      </c>
      <c r="D37" s="95">
        <v>2000</v>
      </c>
      <c r="E37" s="95">
        <v>2000</v>
      </c>
      <c r="F37" s="95">
        <v>2000</v>
      </c>
    </row>
    <row r="38" spans="1:6">
      <c r="A38" s="23" t="s">
        <v>72</v>
      </c>
      <c r="B38" s="96">
        <v>4270</v>
      </c>
      <c r="C38" s="96"/>
      <c r="D38" s="96"/>
      <c r="E38" s="96"/>
      <c r="F38" s="96"/>
    </row>
    <row r="39" spans="1:6">
      <c r="A39" s="20" t="s">
        <v>137</v>
      </c>
      <c r="B39" s="95">
        <v>4270</v>
      </c>
      <c r="C39" s="95"/>
      <c r="D39" s="95"/>
      <c r="E39" s="95"/>
      <c r="F39" s="95"/>
    </row>
    <row r="40" spans="1:6">
      <c r="A40" s="20" t="s">
        <v>156</v>
      </c>
      <c r="B40" s="95">
        <v>0</v>
      </c>
      <c r="C40" s="95"/>
      <c r="D40" s="95"/>
      <c r="E40" s="95"/>
      <c r="F40" s="95"/>
    </row>
    <row r="41" spans="1:6">
      <c r="A41" s="23" t="s">
        <v>241</v>
      </c>
      <c r="B41" s="96">
        <v>2260.0700000000002</v>
      </c>
      <c r="C41" s="96">
        <f>SUM(C42:C48)</f>
        <v>21090</v>
      </c>
      <c r="D41" s="96"/>
      <c r="E41" s="96"/>
      <c r="F41" s="96"/>
    </row>
    <row r="42" spans="1:6" s="153" customFormat="1">
      <c r="A42" s="151" t="s">
        <v>242</v>
      </c>
      <c r="B42" s="152"/>
      <c r="C42" s="152">
        <v>14360</v>
      </c>
      <c r="D42" s="152"/>
      <c r="E42" s="152"/>
      <c r="F42" s="152"/>
    </row>
    <row r="43" spans="1:6" s="153" customFormat="1">
      <c r="A43" s="151" t="s">
        <v>243</v>
      </c>
      <c r="B43" s="152"/>
      <c r="C43" s="152">
        <v>2370</v>
      </c>
      <c r="D43" s="152"/>
      <c r="E43" s="152"/>
      <c r="F43" s="152"/>
    </row>
    <row r="44" spans="1:6" s="153" customFormat="1">
      <c r="A44" s="20" t="s">
        <v>126</v>
      </c>
      <c r="B44" s="152"/>
      <c r="C44" s="152">
        <v>320</v>
      </c>
      <c r="D44" s="152"/>
      <c r="E44" s="152"/>
      <c r="F44" s="152"/>
    </row>
    <row r="45" spans="1:6">
      <c r="A45" s="20" t="s">
        <v>131</v>
      </c>
      <c r="B45" s="95">
        <v>684.82</v>
      </c>
      <c r="C45" s="95">
        <v>2160</v>
      </c>
      <c r="D45" s="95"/>
      <c r="E45" s="95"/>
      <c r="F45" s="95"/>
    </row>
    <row r="46" spans="1:6">
      <c r="A46" s="20" t="s">
        <v>137</v>
      </c>
      <c r="B46" s="95">
        <v>1575.25</v>
      </c>
      <c r="C46" s="95">
        <v>400</v>
      </c>
      <c r="D46" s="95"/>
      <c r="E46" s="95"/>
      <c r="F46" s="95"/>
    </row>
    <row r="47" spans="1:6">
      <c r="A47" s="20" t="s">
        <v>146</v>
      </c>
      <c r="B47" s="95"/>
      <c r="C47" s="95">
        <v>80</v>
      </c>
      <c r="D47" s="95"/>
      <c r="E47" s="95"/>
      <c r="F47" s="95"/>
    </row>
    <row r="48" spans="1:6">
      <c r="A48" s="20" t="s">
        <v>164</v>
      </c>
      <c r="B48" s="95"/>
      <c r="C48" s="95">
        <v>1400</v>
      </c>
      <c r="D48" s="95"/>
      <c r="E48" s="95"/>
      <c r="F48" s="95"/>
    </row>
    <row r="49" spans="1:6">
      <c r="A49" s="23" t="s">
        <v>3</v>
      </c>
      <c r="B49" s="96">
        <v>63000</v>
      </c>
      <c r="C49" s="96">
        <f>SUM(C50:C56)</f>
        <v>66000</v>
      </c>
      <c r="D49" s="96">
        <f t="shared" ref="D49:F49" si="16">SUM(D50:D56)</f>
        <v>66000</v>
      </c>
      <c r="E49" s="96">
        <f t="shared" si="16"/>
        <v>66000</v>
      </c>
      <c r="F49" s="96">
        <f t="shared" si="16"/>
        <v>66000</v>
      </c>
    </row>
    <row r="50" spans="1:6">
      <c r="A50" s="20" t="s">
        <v>126</v>
      </c>
      <c r="B50" s="95">
        <v>3635.83</v>
      </c>
      <c r="C50" s="95">
        <v>3890</v>
      </c>
      <c r="D50" s="95">
        <v>3380</v>
      </c>
      <c r="E50" s="95">
        <v>3380</v>
      </c>
      <c r="F50" s="95">
        <v>3380</v>
      </c>
    </row>
    <row r="51" spans="1:6">
      <c r="A51" s="20" t="s">
        <v>131</v>
      </c>
      <c r="B51" s="95">
        <v>23940.63</v>
      </c>
      <c r="C51" s="95">
        <v>23565</v>
      </c>
      <c r="D51" s="95">
        <v>23935</v>
      </c>
      <c r="E51" s="95">
        <v>23935</v>
      </c>
      <c r="F51" s="95">
        <v>23935</v>
      </c>
    </row>
    <row r="52" spans="1:6">
      <c r="A52" s="20" t="s">
        <v>137</v>
      </c>
      <c r="B52" s="95">
        <v>26863.58</v>
      </c>
      <c r="C52" s="95">
        <v>28395</v>
      </c>
      <c r="D52" s="95">
        <v>28535</v>
      </c>
      <c r="E52" s="95">
        <v>28535</v>
      </c>
      <c r="F52" s="95">
        <v>28535</v>
      </c>
    </row>
    <row r="53" spans="1:6">
      <c r="A53" s="20" t="s">
        <v>146</v>
      </c>
      <c r="B53" s="95">
        <v>1409.96</v>
      </c>
      <c r="C53" s="95">
        <v>1960</v>
      </c>
      <c r="D53" s="95">
        <v>2050</v>
      </c>
      <c r="E53" s="95">
        <v>2050</v>
      </c>
      <c r="F53" s="95">
        <v>2050</v>
      </c>
    </row>
    <row r="54" spans="1:6">
      <c r="A54" s="20" t="s">
        <v>153</v>
      </c>
      <c r="B54" s="95">
        <v>1150</v>
      </c>
      <c r="C54" s="95">
        <v>190</v>
      </c>
      <c r="D54" s="95">
        <v>100</v>
      </c>
      <c r="E54" s="95">
        <v>100</v>
      </c>
      <c r="F54" s="95">
        <v>100</v>
      </c>
    </row>
    <row r="55" spans="1:6">
      <c r="A55" s="20" t="s">
        <v>164</v>
      </c>
      <c r="B55" s="95">
        <v>6000</v>
      </c>
      <c r="C55" s="95">
        <v>7000</v>
      </c>
      <c r="D55" s="95">
        <v>8000</v>
      </c>
      <c r="E55" s="95">
        <v>8000</v>
      </c>
      <c r="F55" s="95">
        <v>8000</v>
      </c>
    </row>
    <row r="56" spans="1:6">
      <c r="A56" s="20" t="s">
        <v>167</v>
      </c>
      <c r="B56" s="95">
        <v>0</v>
      </c>
      <c r="C56" s="95">
        <v>1000</v>
      </c>
      <c r="D56" s="95"/>
      <c r="E56" s="95"/>
      <c r="F56" s="95"/>
    </row>
    <row r="57" spans="1:6">
      <c r="A57" s="23" t="s">
        <v>78</v>
      </c>
      <c r="B57" s="96">
        <v>65</v>
      </c>
      <c r="C57" s="96">
        <f>SUM(C58)</f>
        <v>85</v>
      </c>
      <c r="D57" s="96">
        <f>SUM(D58)</f>
        <v>85</v>
      </c>
      <c r="E57" s="96">
        <f t="shared" ref="E57:F57" si="17">SUM(E58)</f>
        <v>85</v>
      </c>
      <c r="F57" s="96">
        <f t="shared" si="17"/>
        <v>85</v>
      </c>
    </row>
    <row r="58" spans="1:6">
      <c r="A58" s="20" t="s">
        <v>131</v>
      </c>
      <c r="B58" s="95">
        <v>65</v>
      </c>
      <c r="C58" s="95">
        <v>85</v>
      </c>
      <c r="D58" s="95">
        <v>85</v>
      </c>
      <c r="E58" s="95">
        <v>85</v>
      </c>
      <c r="F58" s="95">
        <v>85</v>
      </c>
    </row>
    <row r="59" spans="1:6">
      <c r="A59" s="23" t="s">
        <v>246</v>
      </c>
      <c r="B59" s="96">
        <v>6972.08</v>
      </c>
      <c r="C59" s="96">
        <f>SUM(C60:C64)</f>
        <v>10970</v>
      </c>
      <c r="D59" s="96">
        <f t="shared" ref="D59:F59" si="18">SUM(D60:D64)</f>
        <v>25027</v>
      </c>
      <c r="E59" s="96">
        <f t="shared" si="18"/>
        <v>25027</v>
      </c>
      <c r="F59" s="96">
        <f t="shared" si="18"/>
        <v>25027</v>
      </c>
    </row>
    <row r="60" spans="1:6">
      <c r="A60" s="20" t="s">
        <v>119</v>
      </c>
      <c r="B60" s="95">
        <v>4679.84</v>
      </c>
      <c r="C60" s="95">
        <v>8300</v>
      </c>
      <c r="D60" s="95">
        <v>20010</v>
      </c>
      <c r="E60" s="95">
        <v>20010</v>
      </c>
      <c r="F60" s="95">
        <v>20010</v>
      </c>
    </row>
    <row r="61" spans="1:6">
      <c r="A61" s="20" t="s">
        <v>121</v>
      </c>
      <c r="B61" s="95">
        <v>0</v>
      </c>
      <c r="C61" s="95"/>
      <c r="D61" s="95"/>
      <c r="E61" s="95"/>
      <c r="F61" s="95"/>
    </row>
    <row r="62" spans="1:6">
      <c r="A62" s="20" t="s">
        <v>123</v>
      </c>
      <c r="B62" s="95">
        <v>992.24</v>
      </c>
      <c r="C62" s="95">
        <v>1370</v>
      </c>
      <c r="D62" s="95">
        <v>3302</v>
      </c>
      <c r="E62" s="95">
        <v>3302</v>
      </c>
      <c r="F62" s="95">
        <v>3302</v>
      </c>
    </row>
    <row r="63" spans="1:6">
      <c r="A63" s="20" t="s">
        <v>126</v>
      </c>
      <c r="B63" s="95">
        <v>0</v>
      </c>
      <c r="C63" s="95"/>
      <c r="D63" s="95"/>
      <c r="E63" s="95"/>
      <c r="F63" s="95"/>
    </row>
    <row r="64" spans="1:6">
      <c r="A64" s="20" t="s">
        <v>131</v>
      </c>
      <c r="B64" s="95">
        <v>1300</v>
      </c>
      <c r="C64" s="95">
        <v>1300</v>
      </c>
      <c r="D64" s="95">
        <v>1715</v>
      </c>
      <c r="E64" s="95">
        <v>1715</v>
      </c>
      <c r="F64" s="95">
        <v>1715</v>
      </c>
    </row>
    <row r="65" spans="1:6" ht="25.5">
      <c r="A65" s="23" t="s">
        <v>46</v>
      </c>
      <c r="B65" s="97">
        <v>932502.24</v>
      </c>
      <c r="C65" s="97">
        <f>SUM(C66:C70)</f>
        <v>1075000</v>
      </c>
      <c r="D65" s="97">
        <f t="shared" ref="D65:F65" si="19">SUM(D66:D70)</f>
        <v>1075000</v>
      </c>
      <c r="E65" s="97">
        <f t="shared" si="19"/>
        <v>1075000</v>
      </c>
      <c r="F65" s="97">
        <f t="shared" si="19"/>
        <v>1075000</v>
      </c>
    </row>
    <row r="66" spans="1:6">
      <c r="A66" s="20" t="s">
        <v>119</v>
      </c>
      <c r="B66" s="95">
        <v>738006.87</v>
      </c>
      <c r="C66" s="95">
        <v>848000</v>
      </c>
      <c r="D66" s="95">
        <v>848000</v>
      </c>
      <c r="E66" s="95">
        <v>848000</v>
      </c>
      <c r="F66" s="95">
        <v>848000</v>
      </c>
    </row>
    <row r="67" spans="1:6">
      <c r="A67" s="20" t="s">
        <v>121</v>
      </c>
      <c r="B67" s="95">
        <v>32768.269999999997</v>
      </c>
      <c r="C67" s="95">
        <v>34800</v>
      </c>
      <c r="D67" s="95">
        <f>16600+3500+3000+10500+900</f>
        <v>34500</v>
      </c>
      <c r="E67" s="95">
        <f t="shared" ref="E67:F67" si="20">16600+3500+3000+10500+900</f>
        <v>34500</v>
      </c>
      <c r="F67" s="95">
        <f t="shared" si="20"/>
        <v>34500</v>
      </c>
    </row>
    <row r="68" spans="1:6">
      <c r="A68" s="20" t="s">
        <v>123</v>
      </c>
      <c r="B68" s="95">
        <v>121914.29</v>
      </c>
      <c r="C68" s="95">
        <v>140000</v>
      </c>
      <c r="D68" s="95">
        <v>140000</v>
      </c>
      <c r="E68" s="95">
        <v>140000</v>
      </c>
      <c r="F68" s="95">
        <v>140000</v>
      </c>
    </row>
    <row r="69" spans="1:6">
      <c r="A69" s="20" t="s">
        <v>126</v>
      </c>
      <c r="B69" s="95">
        <v>36676.81</v>
      </c>
      <c r="C69" s="95">
        <v>49100</v>
      </c>
      <c r="D69" s="95">
        <v>50000</v>
      </c>
      <c r="E69" s="95">
        <v>50000</v>
      </c>
      <c r="F69" s="95">
        <v>50000</v>
      </c>
    </row>
    <row r="70" spans="1:6">
      <c r="A70" s="20" t="s">
        <v>146</v>
      </c>
      <c r="B70" s="95">
        <v>3136</v>
      </c>
      <c r="C70" s="95">
        <v>3100</v>
      </c>
      <c r="D70" s="95">
        <v>2500</v>
      </c>
      <c r="E70" s="95">
        <v>2500</v>
      </c>
      <c r="F70" s="95">
        <v>2500</v>
      </c>
    </row>
    <row r="71" spans="1:6">
      <c r="A71" s="23" t="s">
        <v>61</v>
      </c>
      <c r="B71" s="96">
        <v>82338.240000000005</v>
      </c>
      <c r="C71" s="96">
        <f>SUM(C72:C81)</f>
        <v>95976</v>
      </c>
      <c r="D71" s="96">
        <f>SUM(D72:D81)</f>
        <v>87180</v>
      </c>
      <c r="E71" s="96">
        <f>SUM(E72:E81)</f>
        <v>87180</v>
      </c>
      <c r="F71" s="96">
        <f>SUM(F72:F81)</f>
        <v>87180</v>
      </c>
    </row>
    <row r="72" spans="1:6">
      <c r="A72" s="20" t="s">
        <v>119</v>
      </c>
      <c r="B72" s="95">
        <v>11813.04</v>
      </c>
      <c r="C72" s="95">
        <v>8451</v>
      </c>
      <c r="D72" s="95">
        <v>8500</v>
      </c>
      <c r="E72" s="95">
        <v>8500</v>
      </c>
      <c r="F72" s="95">
        <v>8500</v>
      </c>
    </row>
    <row r="73" spans="1:6">
      <c r="A73" s="20" t="s">
        <v>121</v>
      </c>
      <c r="B73" s="95">
        <v>300</v>
      </c>
      <c r="C73" s="95">
        <v>700</v>
      </c>
      <c r="D73" s="95"/>
      <c r="E73" s="95"/>
      <c r="F73" s="95"/>
    </row>
    <row r="74" spans="1:6">
      <c r="A74" s="20" t="s">
        <v>123</v>
      </c>
      <c r="B74" s="95">
        <v>1949.17</v>
      </c>
      <c r="C74" s="95">
        <v>1395</v>
      </c>
      <c r="D74" s="95">
        <v>1400</v>
      </c>
      <c r="E74" s="95">
        <v>1400</v>
      </c>
      <c r="F74" s="95">
        <v>1400</v>
      </c>
    </row>
    <row r="75" spans="1:6">
      <c r="A75" s="20" t="s">
        <v>126</v>
      </c>
      <c r="B75" s="95">
        <v>414.34</v>
      </c>
      <c r="C75" s="95">
        <v>385</v>
      </c>
      <c r="D75" s="95">
        <v>400</v>
      </c>
      <c r="E75" s="95">
        <v>400</v>
      </c>
      <c r="F75" s="95">
        <v>400</v>
      </c>
    </row>
    <row r="76" spans="1:6">
      <c r="A76" s="20" t="s">
        <v>131</v>
      </c>
      <c r="B76" s="95">
        <v>53962.85</v>
      </c>
      <c r="C76" s="95">
        <v>62405</v>
      </c>
      <c r="D76" s="95">
        <f>300+270+200+500+800+700+500+200+600+57750</f>
        <v>61820</v>
      </c>
      <c r="E76" s="95">
        <f t="shared" ref="E76:F76" si="21">300+270+200+500+800+700+500+200+600+57750</f>
        <v>61820</v>
      </c>
      <c r="F76" s="95">
        <f t="shared" si="21"/>
        <v>61820</v>
      </c>
    </row>
    <row r="77" spans="1:6">
      <c r="A77" s="20" t="s">
        <v>137</v>
      </c>
      <c r="B77" s="95">
        <v>1132.27</v>
      </c>
      <c r="C77" s="95">
        <v>2390</v>
      </c>
      <c r="D77" s="95">
        <v>2390</v>
      </c>
      <c r="E77" s="95">
        <v>2390</v>
      </c>
      <c r="F77" s="95">
        <v>2390</v>
      </c>
    </row>
    <row r="78" spans="1:6">
      <c r="A78" s="20" t="s">
        <v>153</v>
      </c>
      <c r="B78" s="95"/>
      <c r="C78" s="95">
        <v>450</v>
      </c>
      <c r="D78" s="95"/>
      <c r="E78" s="95"/>
      <c r="F78" s="95"/>
    </row>
    <row r="79" spans="1:6">
      <c r="A79" s="20" t="s">
        <v>160</v>
      </c>
      <c r="B79" s="95">
        <v>528</v>
      </c>
      <c r="C79" s="95">
        <v>600</v>
      </c>
      <c r="D79" s="95">
        <v>600</v>
      </c>
      <c r="E79" s="95">
        <v>600</v>
      </c>
      <c r="F79" s="95">
        <v>600</v>
      </c>
    </row>
    <row r="80" spans="1:6">
      <c r="A80" s="20" t="s">
        <v>164</v>
      </c>
      <c r="B80" s="95"/>
      <c r="C80" s="95">
        <v>4900</v>
      </c>
      <c r="D80" s="95">
        <v>1070</v>
      </c>
      <c r="E80" s="95">
        <v>1070</v>
      </c>
      <c r="F80" s="95">
        <v>1070</v>
      </c>
    </row>
    <row r="81" spans="1:6">
      <c r="A81" s="20" t="s">
        <v>167</v>
      </c>
      <c r="B81" s="95">
        <v>12238.57</v>
      </c>
      <c r="C81" s="95">
        <v>14300</v>
      </c>
      <c r="D81" s="95">
        <v>11000</v>
      </c>
      <c r="E81" s="95">
        <v>11000</v>
      </c>
      <c r="F81" s="95">
        <v>11000</v>
      </c>
    </row>
    <row r="84" spans="1:6">
      <c r="C84" s="100"/>
    </row>
  </sheetData>
  <mergeCells count="3">
    <mergeCell ref="A3:F3"/>
    <mergeCell ref="A4:F4"/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sqref="A1:O1"/>
    </sheetView>
  </sheetViews>
  <sheetFormatPr defaultRowHeight="15"/>
  <cols>
    <col min="1" max="1" width="37.7109375" customWidth="1"/>
    <col min="2" max="5" width="37.7109375" hidden="1" customWidth="1"/>
    <col min="6" max="6" width="17.7109375" hidden="1" customWidth="1"/>
    <col min="7" max="7" width="17.7109375" customWidth="1"/>
    <col min="8" max="8" width="17.7109375" hidden="1" customWidth="1"/>
    <col min="9" max="9" width="17.7109375" customWidth="1"/>
    <col min="10" max="10" width="17.7109375" hidden="1" customWidth="1"/>
    <col min="11" max="11" width="17.7109375" customWidth="1"/>
    <col min="12" max="12" width="17.7109375" hidden="1" customWidth="1"/>
    <col min="13" max="13" width="17.7109375" customWidth="1"/>
    <col min="14" max="14" width="17.7109375" hidden="1" customWidth="1"/>
    <col min="15" max="15" width="17.7109375" customWidth="1"/>
  </cols>
  <sheetData>
    <row r="1" spans="1:15">
      <c r="A1" s="140" t="str">
        <f>SAŽETAK!A1</f>
        <v>FINANCIJSKI PLAN OSNOVNE ŠKOLE ANTUNA MASLE - ORAŠAC ZA 2026. I PROJEKCIJA ZA 2027. I 2028. GODINU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5" ht="18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15.75">
      <c r="A3" s="117" t="s">
        <v>178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18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5"/>
      <c r="M4" s="25"/>
      <c r="N4" s="25"/>
      <c r="O4" s="25"/>
    </row>
    <row r="5" spans="1:15" ht="15.75">
      <c r="A5" s="117" t="s">
        <v>204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5" ht="18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25"/>
      <c r="N6" s="25"/>
      <c r="O6" s="25"/>
    </row>
    <row r="7" spans="1:15" ht="15.75">
      <c r="A7" s="117" t="s">
        <v>205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</row>
    <row r="8" spans="1:15" ht="18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  <c r="M8" s="25"/>
      <c r="N8" s="25"/>
      <c r="O8" s="25"/>
    </row>
    <row r="9" spans="1:15" ht="30.75" customHeight="1">
      <c r="A9" s="63" t="s">
        <v>206</v>
      </c>
      <c r="B9" s="64"/>
      <c r="C9" s="64"/>
      <c r="D9" s="64"/>
      <c r="E9" s="64"/>
      <c r="F9" s="141" t="s">
        <v>239</v>
      </c>
      <c r="G9" s="142"/>
      <c r="H9" s="141" t="s">
        <v>169</v>
      </c>
      <c r="I9" s="142"/>
      <c r="J9" s="141" t="s">
        <v>232</v>
      </c>
      <c r="K9" s="142"/>
      <c r="L9" s="143" t="s">
        <v>189</v>
      </c>
      <c r="M9" s="144"/>
      <c r="N9" s="143" t="s">
        <v>233</v>
      </c>
      <c r="O9" s="144"/>
    </row>
    <row r="10" spans="1:15">
      <c r="A10" s="63"/>
      <c r="B10" s="64"/>
      <c r="C10" s="64"/>
      <c r="D10" s="64"/>
      <c r="E10" s="64"/>
      <c r="F10" s="65" t="s">
        <v>190</v>
      </c>
      <c r="G10" s="65" t="s">
        <v>191</v>
      </c>
      <c r="H10" s="65" t="s">
        <v>190</v>
      </c>
      <c r="I10" s="65" t="s">
        <v>191</v>
      </c>
      <c r="J10" s="65" t="s">
        <v>190</v>
      </c>
      <c r="K10" s="65" t="s">
        <v>191</v>
      </c>
      <c r="L10" s="64" t="s">
        <v>190</v>
      </c>
      <c r="M10" s="64" t="s">
        <v>191</v>
      </c>
      <c r="N10" s="64" t="s">
        <v>190</v>
      </c>
      <c r="O10" s="64" t="s">
        <v>191</v>
      </c>
    </row>
    <row r="11" spans="1:15" s="69" customFormat="1">
      <c r="A11" s="66" t="s">
        <v>207</v>
      </c>
      <c r="B11" s="67"/>
      <c r="C11" s="67"/>
      <c r="D11" s="67"/>
      <c r="E11" s="67"/>
      <c r="F11" s="68">
        <f>+F12</f>
        <v>5931319.3700000001</v>
      </c>
      <c r="G11" s="68">
        <f t="shared" ref="G11:O12" si="0">+G12</f>
        <v>1171181.29</v>
      </c>
      <c r="H11" s="68">
        <f t="shared" si="0"/>
        <v>0</v>
      </c>
      <c r="I11" s="68">
        <f t="shared" si="0"/>
        <v>1407969</v>
      </c>
      <c r="J11" s="68">
        <f t="shared" si="0"/>
        <v>1348900</v>
      </c>
      <c r="K11" s="68">
        <f t="shared" si="0"/>
        <v>1348900</v>
      </c>
      <c r="L11" s="98">
        <f t="shared" si="0"/>
        <v>1348900</v>
      </c>
      <c r="M11" s="98">
        <f t="shared" si="0"/>
        <v>1348900</v>
      </c>
      <c r="N11" s="98">
        <f t="shared" si="0"/>
        <v>0</v>
      </c>
      <c r="O11" s="98">
        <f t="shared" si="0"/>
        <v>1348900</v>
      </c>
    </row>
    <row r="12" spans="1:15" s="69" customFormat="1">
      <c r="A12" s="66" t="s">
        <v>208</v>
      </c>
      <c r="B12" s="67"/>
      <c r="C12" s="67"/>
      <c r="D12" s="67"/>
      <c r="E12" s="67"/>
      <c r="F12" s="68">
        <f>+F13</f>
        <v>5931319.3700000001</v>
      </c>
      <c r="G12" s="68">
        <f t="shared" si="0"/>
        <v>1171181.29</v>
      </c>
      <c r="H12" s="68">
        <f t="shared" si="0"/>
        <v>0</v>
      </c>
      <c r="I12" s="68">
        <f t="shared" si="0"/>
        <v>1407969</v>
      </c>
      <c r="J12" s="68">
        <f t="shared" si="0"/>
        <v>1348900</v>
      </c>
      <c r="K12" s="68">
        <f t="shared" si="0"/>
        <v>1348900</v>
      </c>
      <c r="L12" s="98">
        <f t="shared" si="0"/>
        <v>1348900</v>
      </c>
      <c r="M12" s="98">
        <f t="shared" si="0"/>
        <v>1348900</v>
      </c>
      <c r="N12" s="98">
        <f t="shared" si="0"/>
        <v>0</v>
      </c>
      <c r="O12" s="98">
        <f t="shared" si="0"/>
        <v>1348900</v>
      </c>
    </row>
    <row r="13" spans="1:15">
      <c r="A13" s="70" t="s">
        <v>209</v>
      </c>
      <c r="B13" s="71"/>
      <c r="C13" s="71"/>
      <c r="D13" s="71"/>
      <c r="E13" s="71"/>
      <c r="F13" s="72">
        <f>+'[1]POSEBNI DIO'!F4</f>
        <v>5931319.3700000001</v>
      </c>
      <c r="G13" s="72">
        <v>1171181.29</v>
      </c>
      <c r="H13" s="72">
        <f>+'[1]POSEBNI DIO'!H4</f>
        <v>0</v>
      </c>
      <c r="I13" s="72">
        <f>'PRIHODI I RASHODI PO IZVORIMA'!C29</f>
        <v>1407969</v>
      </c>
      <c r="J13" s="72">
        <f>'PRIHODI I RASHODI PO IZVORIMA'!D29</f>
        <v>1348900</v>
      </c>
      <c r="K13" s="72">
        <f>'PRIHODI I RASHODI PO IZVORIMA'!D29</f>
        <v>1348900</v>
      </c>
      <c r="L13" s="72">
        <f>'PRIHODI I RASHODI PO IZVORIMA'!E29</f>
        <v>1348900</v>
      </c>
      <c r="M13" s="72">
        <f>'PRIHODI I RASHODI PO IZVORIMA'!E29</f>
        <v>1348900</v>
      </c>
      <c r="N13" s="72">
        <f>'PRIHODI I RASHODI PO IZVORIMA'!G29</f>
        <v>0</v>
      </c>
      <c r="O13" s="72">
        <f>'PRIHODI I RASHODI PO IZVORIMA'!F29</f>
        <v>1348900</v>
      </c>
    </row>
    <row r="18" spans="6:15">
      <c r="G18" s="73"/>
    </row>
    <row r="22" spans="6:15"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</sheetData>
  <mergeCells count="14">
    <mergeCell ref="A1:O1"/>
    <mergeCell ref="A3:O3"/>
    <mergeCell ref="A5:O5"/>
    <mergeCell ref="A7:O7"/>
    <mergeCell ref="F9:G9"/>
    <mergeCell ref="H9:I9"/>
    <mergeCell ref="J9:K9"/>
    <mergeCell ref="L9:M9"/>
    <mergeCell ref="N9:O9"/>
    <mergeCell ref="F22:G22"/>
    <mergeCell ref="H22:I22"/>
    <mergeCell ref="J22:K22"/>
    <mergeCell ref="L22:M22"/>
    <mergeCell ref="N22:O2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2"/>
  <sheetViews>
    <sheetView showGridLines="0" workbookViewId="0">
      <selection sqref="A1:F1"/>
    </sheetView>
  </sheetViews>
  <sheetFormatPr defaultColWidth="9.140625" defaultRowHeight="11.25"/>
  <cols>
    <col min="1" max="1" width="55.7109375" style="1" customWidth="1"/>
    <col min="2" max="6" width="22.28515625" style="1" customWidth="1"/>
    <col min="7" max="16384" width="9.140625" style="1"/>
  </cols>
  <sheetData>
    <row r="1" spans="1:15" ht="42.75" customHeight="1">
      <c r="A1" s="146" t="str">
        <f>SAŽETAK!A1</f>
        <v>FINANCIJSKI PLAN OSNOVNE ŠKOLE ANTUNA MASLE - ORAŠAC ZA 2026. I PROJEKCIJA ZA 2027. I 2028. GODINU</v>
      </c>
      <c r="B1" s="146"/>
      <c r="C1" s="146"/>
      <c r="D1" s="146"/>
      <c r="E1" s="146"/>
      <c r="F1" s="146"/>
    </row>
    <row r="2" spans="1:15" ht="16.5" thickBot="1">
      <c r="A2" s="145" t="s">
        <v>234</v>
      </c>
      <c r="B2" s="145"/>
      <c r="C2" s="145"/>
      <c r="D2" s="145"/>
      <c r="E2" s="145"/>
      <c r="F2" s="145"/>
      <c r="G2" s="88"/>
      <c r="H2" s="88"/>
      <c r="I2" s="88"/>
      <c r="J2" s="88"/>
      <c r="K2" s="88"/>
      <c r="L2" s="88"/>
      <c r="M2" s="88"/>
      <c r="N2" s="88"/>
      <c r="O2" s="88"/>
    </row>
    <row r="3" spans="1:15" ht="16.5" thickBot="1">
      <c r="A3" s="89"/>
      <c r="B3" s="89"/>
      <c r="C3" s="89"/>
      <c r="D3" s="89"/>
      <c r="E3" s="89"/>
      <c r="F3" s="89"/>
      <c r="G3" s="88"/>
      <c r="H3" s="88"/>
      <c r="I3" s="88"/>
      <c r="J3" s="88"/>
      <c r="K3" s="88"/>
      <c r="L3" s="88"/>
      <c r="M3" s="88"/>
      <c r="N3" s="88"/>
      <c r="O3" s="88"/>
    </row>
    <row r="4" spans="1:15" ht="13.5" thickBot="1">
      <c r="A4" s="2" t="s">
        <v>0</v>
      </c>
      <c r="B4" s="2" t="s">
        <v>87</v>
      </c>
      <c r="C4" s="2" t="s">
        <v>83</v>
      </c>
      <c r="D4" s="2" t="s">
        <v>84</v>
      </c>
      <c r="E4" s="2" t="s">
        <v>85</v>
      </c>
      <c r="F4" s="2" t="s">
        <v>86</v>
      </c>
    </row>
    <row r="5" spans="1:15" ht="12.75">
      <c r="A5" s="4" t="s">
        <v>1</v>
      </c>
      <c r="B5" s="5">
        <f>+B6+B51+B62+B89+B127+B132+B136+B151+B154+B161+B169</f>
        <v>1171181.2900000003</v>
      </c>
      <c r="C5" s="5">
        <f>+C6+C51+C62+C89+C127+C132+C136+C151+C154+C161+C169</f>
        <v>1407969</v>
      </c>
      <c r="D5" s="5">
        <f>+D6+D51+D62+D89+D127+D132+D136+D151+D154+D161+D169+D148</f>
        <v>1348900</v>
      </c>
      <c r="E5" s="5">
        <f>+E6+E51+E62+E89+E127+E132+E136+E151+E154+E161+E169+E148</f>
        <v>1348900</v>
      </c>
      <c r="F5" s="5">
        <f>+F6+F51+F62+F89+F127+F132+F136+F151+F154+F161+F169+F148</f>
        <v>1348900</v>
      </c>
    </row>
    <row r="6" spans="1:15" ht="12.75">
      <c r="A6" s="6" t="s">
        <v>2</v>
      </c>
      <c r="B6" s="7">
        <f>+B7</f>
        <v>57000</v>
      </c>
      <c r="C6" s="7">
        <f t="shared" ref="C6:F6" si="0">+C7</f>
        <v>58320</v>
      </c>
      <c r="D6" s="7">
        <f t="shared" si="0"/>
        <v>58000</v>
      </c>
      <c r="E6" s="7">
        <f t="shared" si="0"/>
        <v>58000</v>
      </c>
      <c r="F6" s="7">
        <f t="shared" si="0"/>
        <v>58000</v>
      </c>
    </row>
    <row r="7" spans="1:15" ht="12.75">
      <c r="A7" s="8" t="s">
        <v>3</v>
      </c>
      <c r="B7" s="3">
        <v>57000</v>
      </c>
      <c r="C7" s="3">
        <f>SUM(C8:C50)</f>
        <v>58320</v>
      </c>
      <c r="D7" s="3">
        <f>SUM(D8:D50)</f>
        <v>58000</v>
      </c>
      <c r="E7" s="3">
        <f t="shared" ref="E7:F7" si="1">SUM(E8:E50)</f>
        <v>58000</v>
      </c>
      <c r="F7" s="3">
        <f t="shared" si="1"/>
        <v>58000</v>
      </c>
    </row>
    <row r="8" spans="1:15" ht="12.75">
      <c r="A8" s="9" t="s">
        <v>4</v>
      </c>
      <c r="B8" s="3">
        <v>2025</v>
      </c>
      <c r="C8" s="3">
        <v>1800</v>
      </c>
      <c r="D8" s="3">
        <v>1800</v>
      </c>
      <c r="E8" s="3">
        <v>1800</v>
      </c>
      <c r="F8" s="3">
        <v>1800</v>
      </c>
    </row>
    <row r="9" spans="1:15" ht="12.75">
      <c r="A9" s="9" t="s">
        <v>244</v>
      </c>
      <c r="B9" s="3"/>
      <c r="C9" s="3">
        <v>320</v>
      </c>
      <c r="D9" s="3"/>
      <c r="E9" s="3"/>
      <c r="F9" s="3"/>
    </row>
    <row r="10" spans="1:15" ht="12.75">
      <c r="A10" s="9" t="s">
        <v>5</v>
      </c>
      <c r="B10" s="3">
        <v>121.5</v>
      </c>
      <c r="C10" s="99"/>
      <c r="D10" s="99"/>
      <c r="E10" s="99"/>
      <c r="F10" s="99"/>
    </row>
    <row r="11" spans="1:15" ht="12.75">
      <c r="A11" s="9" t="s">
        <v>6</v>
      </c>
      <c r="B11" s="3">
        <v>404.66</v>
      </c>
      <c r="C11" s="3">
        <v>500</v>
      </c>
      <c r="D11" s="3">
        <v>300</v>
      </c>
      <c r="E11" s="3">
        <v>300</v>
      </c>
      <c r="F11" s="3">
        <v>300</v>
      </c>
    </row>
    <row r="12" spans="1:15" ht="12.75">
      <c r="A12" s="9" t="s">
        <v>7</v>
      </c>
      <c r="B12" s="3">
        <v>32.700000000000003</v>
      </c>
      <c r="C12" s="3">
        <v>40</v>
      </c>
      <c r="D12" s="3">
        <v>80</v>
      </c>
      <c r="E12" s="3">
        <v>80</v>
      </c>
      <c r="F12" s="3">
        <v>80</v>
      </c>
    </row>
    <row r="13" spans="1:15" ht="12.75">
      <c r="A13" s="9" t="s">
        <v>8</v>
      </c>
      <c r="B13" s="99"/>
      <c r="C13" s="3">
        <v>200</v>
      </c>
      <c r="D13" s="3">
        <v>200</v>
      </c>
      <c r="E13" s="3">
        <v>200</v>
      </c>
      <c r="F13" s="3">
        <v>200</v>
      </c>
    </row>
    <row r="14" spans="1:15" ht="12.75">
      <c r="A14" s="9" t="s">
        <v>9</v>
      </c>
      <c r="B14" s="3">
        <v>160</v>
      </c>
      <c r="C14" s="3">
        <v>200</v>
      </c>
      <c r="D14" s="3">
        <v>200</v>
      </c>
      <c r="E14" s="3">
        <v>200</v>
      </c>
      <c r="F14" s="3">
        <v>200</v>
      </c>
    </row>
    <row r="15" spans="1:15" ht="25.5">
      <c r="A15" s="9" t="s">
        <v>10</v>
      </c>
      <c r="B15" s="3">
        <v>891.97</v>
      </c>
      <c r="C15" s="3">
        <v>1150</v>
      </c>
      <c r="D15" s="3">
        <v>800</v>
      </c>
      <c r="E15" s="3">
        <v>800</v>
      </c>
      <c r="F15" s="3">
        <v>800</v>
      </c>
    </row>
    <row r="16" spans="1:15" ht="12.75">
      <c r="A16" s="9" t="s">
        <v>11</v>
      </c>
      <c r="B16" s="3">
        <v>4263.32</v>
      </c>
      <c r="C16" s="3">
        <v>3020</v>
      </c>
      <c r="D16" s="3">
        <v>3000</v>
      </c>
      <c r="E16" s="3">
        <v>3000</v>
      </c>
      <c r="F16" s="3">
        <v>3000</v>
      </c>
    </row>
    <row r="17" spans="1:6" ht="25.5">
      <c r="A17" s="9" t="s">
        <v>12</v>
      </c>
      <c r="B17" s="3">
        <v>715.31</v>
      </c>
      <c r="C17" s="3">
        <v>700</v>
      </c>
      <c r="D17" s="3">
        <v>500</v>
      </c>
      <c r="E17" s="3">
        <v>500</v>
      </c>
      <c r="F17" s="3">
        <v>500</v>
      </c>
    </row>
    <row r="18" spans="1:6" ht="12.75">
      <c r="A18" s="9" t="s">
        <v>13</v>
      </c>
      <c r="B18" s="3">
        <v>1097.29</v>
      </c>
      <c r="C18" s="3">
        <v>1900</v>
      </c>
      <c r="D18" s="3">
        <v>1800</v>
      </c>
      <c r="E18" s="3">
        <v>1800</v>
      </c>
      <c r="F18" s="3">
        <v>1800</v>
      </c>
    </row>
    <row r="19" spans="1:6" ht="12.75">
      <c r="A19" s="9" t="s">
        <v>14</v>
      </c>
      <c r="B19" s="3">
        <v>1581.06</v>
      </c>
      <c r="C19" s="3">
        <v>2750</v>
      </c>
      <c r="D19" s="3">
        <v>2650</v>
      </c>
      <c r="E19" s="3">
        <v>2650</v>
      </c>
      <c r="F19" s="3">
        <v>2650</v>
      </c>
    </row>
    <row r="20" spans="1:6" ht="12.75">
      <c r="A20" s="9" t="s">
        <v>15</v>
      </c>
      <c r="B20" s="3">
        <v>5763.42</v>
      </c>
      <c r="C20" s="3">
        <v>2955</v>
      </c>
      <c r="D20" s="3">
        <v>3945</v>
      </c>
      <c r="E20" s="3">
        <v>3945</v>
      </c>
      <c r="F20" s="3">
        <v>3945</v>
      </c>
    </row>
    <row r="21" spans="1:6" ht="12.75">
      <c r="A21" s="9" t="s">
        <v>16</v>
      </c>
      <c r="B21" s="3">
        <v>62.24</v>
      </c>
      <c r="C21" s="3">
        <v>180</v>
      </c>
      <c r="D21" s="3">
        <v>180</v>
      </c>
      <c r="E21" s="3">
        <v>180</v>
      </c>
      <c r="F21" s="3">
        <v>180</v>
      </c>
    </row>
    <row r="22" spans="1:6" ht="12.75">
      <c r="A22" s="9" t="s">
        <v>17</v>
      </c>
      <c r="B22" s="3">
        <v>4286.9399999999996</v>
      </c>
      <c r="C22" s="3">
        <v>4500</v>
      </c>
      <c r="D22" s="3">
        <v>4500</v>
      </c>
      <c r="E22" s="3">
        <v>4500</v>
      </c>
      <c r="F22" s="3">
        <v>4500</v>
      </c>
    </row>
    <row r="23" spans="1:6" ht="12.75">
      <c r="A23" s="9" t="s">
        <v>18</v>
      </c>
      <c r="B23" s="3">
        <v>58.52</v>
      </c>
      <c r="C23" s="3">
        <v>0</v>
      </c>
      <c r="D23" s="3">
        <v>0</v>
      </c>
      <c r="E23" s="3">
        <v>0</v>
      </c>
      <c r="F23" s="3">
        <v>0</v>
      </c>
    </row>
    <row r="24" spans="1:6" ht="25.5">
      <c r="A24" s="9" t="s">
        <v>19</v>
      </c>
      <c r="B24" s="3">
        <v>5610.3</v>
      </c>
      <c r="C24" s="3">
        <v>6000</v>
      </c>
      <c r="D24" s="3">
        <v>6000</v>
      </c>
      <c r="E24" s="3">
        <v>6000</v>
      </c>
      <c r="F24" s="3">
        <v>6000</v>
      </c>
    </row>
    <row r="25" spans="1:6" ht="25.5">
      <c r="A25" s="9" t="s">
        <v>68</v>
      </c>
      <c r="B25" s="3"/>
      <c r="C25" s="3">
        <v>560</v>
      </c>
      <c r="D25" s="3">
        <v>560</v>
      </c>
      <c r="E25" s="3">
        <v>560</v>
      </c>
      <c r="F25" s="3">
        <v>560</v>
      </c>
    </row>
    <row r="26" spans="1:6" ht="25.5">
      <c r="A26" s="9" t="s">
        <v>20</v>
      </c>
      <c r="B26" s="3">
        <v>144.46</v>
      </c>
      <c r="C26" s="3">
        <v>600</v>
      </c>
      <c r="D26" s="3">
        <v>400</v>
      </c>
      <c r="E26" s="3">
        <v>400</v>
      </c>
      <c r="F26" s="3">
        <v>400</v>
      </c>
    </row>
    <row r="27" spans="1:6" ht="12.75">
      <c r="A27" s="9" t="s">
        <v>21</v>
      </c>
      <c r="B27" s="3">
        <v>357.77</v>
      </c>
      <c r="C27" s="3">
        <v>400</v>
      </c>
      <c r="D27" s="3">
        <v>400</v>
      </c>
      <c r="E27" s="3">
        <v>400</v>
      </c>
      <c r="F27" s="3">
        <v>400</v>
      </c>
    </row>
    <row r="28" spans="1:6" ht="12.75">
      <c r="A28" s="9" t="s">
        <v>22</v>
      </c>
      <c r="B28" s="3">
        <v>708.55</v>
      </c>
      <c r="C28" s="3">
        <v>1000</v>
      </c>
      <c r="D28" s="3">
        <v>700</v>
      </c>
      <c r="E28" s="3">
        <v>700</v>
      </c>
      <c r="F28" s="3">
        <v>700</v>
      </c>
    </row>
    <row r="29" spans="1:6" ht="12.75">
      <c r="A29" s="9" t="s">
        <v>23</v>
      </c>
      <c r="B29" s="3">
        <v>138.4</v>
      </c>
      <c r="C29" s="3">
        <v>100</v>
      </c>
      <c r="D29" s="3">
        <v>200</v>
      </c>
      <c r="E29" s="3">
        <v>200</v>
      </c>
      <c r="F29" s="3">
        <v>200</v>
      </c>
    </row>
    <row r="30" spans="1:6" ht="25.5">
      <c r="A30" s="9" t="s">
        <v>24</v>
      </c>
      <c r="B30" s="3">
        <v>7279.59</v>
      </c>
      <c r="C30" s="3">
        <v>10000</v>
      </c>
      <c r="D30" s="3">
        <v>10000</v>
      </c>
      <c r="E30" s="3">
        <v>10000</v>
      </c>
      <c r="F30" s="3">
        <v>10000</v>
      </c>
    </row>
    <row r="31" spans="1:6" ht="12.75">
      <c r="A31" s="9" t="s">
        <v>25</v>
      </c>
      <c r="B31" s="3">
        <v>1556.31</v>
      </c>
      <c r="C31" s="3">
        <v>1000</v>
      </c>
      <c r="D31" s="3">
        <v>1500</v>
      </c>
      <c r="E31" s="3">
        <v>1500</v>
      </c>
      <c r="F31" s="3">
        <v>1500</v>
      </c>
    </row>
    <row r="32" spans="1:6" ht="12.75">
      <c r="A32" s="9" t="s">
        <v>26</v>
      </c>
      <c r="B32" s="3">
        <v>1124.8800000000001</v>
      </c>
      <c r="C32" s="3">
        <v>1200</v>
      </c>
      <c r="D32" s="3">
        <v>1100</v>
      </c>
      <c r="E32" s="3">
        <v>1100</v>
      </c>
      <c r="F32" s="3">
        <v>1100</v>
      </c>
    </row>
    <row r="33" spans="1:6" ht="12.75">
      <c r="A33" s="9" t="s">
        <v>27</v>
      </c>
      <c r="B33" s="3">
        <v>562.5</v>
      </c>
      <c r="C33" s="3">
        <v>570</v>
      </c>
      <c r="D33" s="3">
        <v>550</v>
      </c>
      <c r="E33" s="3">
        <v>550</v>
      </c>
      <c r="F33" s="3">
        <v>550</v>
      </c>
    </row>
    <row r="34" spans="1:6" ht="12.75">
      <c r="A34" s="9" t="s">
        <v>28</v>
      </c>
      <c r="B34" s="3">
        <v>1957.38</v>
      </c>
      <c r="C34" s="3">
        <v>2400</v>
      </c>
      <c r="D34" s="3">
        <v>2400</v>
      </c>
      <c r="E34" s="3">
        <v>2400</v>
      </c>
      <c r="F34" s="3">
        <v>2400</v>
      </c>
    </row>
    <row r="35" spans="1:6" ht="12.75">
      <c r="A35" s="9" t="s">
        <v>29</v>
      </c>
      <c r="B35" s="3">
        <v>2284.81</v>
      </c>
      <c r="C35" s="3">
        <v>2200</v>
      </c>
      <c r="D35" s="3">
        <v>2200</v>
      </c>
      <c r="E35" s="3">
        <v>2200</v>
      </c>
      <c r="F35" s="3">
        <v>2200</v>
      </c>
    </row>
    <row r="36" spans="1:6" ht="12.75">
      <c r="A36" s="9" t="s">
        <v>30</v>
      </c>
      <c r="B36" s="3">
        <v>743.75</v>
      </c>
      <c r="C36" s="3">
        <v>870</v>
      </c>
      <c r="D36" s="3">
        <v>750</v>
      </c>
      <c r="E36" s="3">
        <v>750</v>
      </c>
      <c r="F36" s="3">
        <v>750</v>
      </c>
    </row>
    <row r="37" spans="1:6" ht="12.75">
      <c r="A37" s="9" t="s">
        <v>31</v>
      </c>
      <c r="B37" s="3">
        <v>864</v>
      </c>
      <c r="C37" s="3">
        <v>900</v>
      </c>
      <c r="D37" s="3">
        <v>780</v>
      </c>
      <c r="E37" s="3">
        <v>780</v>
      </c>
      <c r="F37" s="3">
        <v>780</v>
      </c>
    </row>
    <row r="38" spans="1:6" ht="25.5">
      <c r="A38" s="9" t="s">
        <v>32</v>
      </c>
      <c r="B38" s="3">
        <v>2080</v>
      </c>
      <c r="C38" s="3">
        <v>2240</v>
      </c>
      <c r="D38" s="3">
        <v>2240</v>
      </c>
      <c r="E38" s="3">
        <v>2240</v>
      </c>
      <c r="F38" s="3">
        <v>2240</v>
      </c>
    </row>
    <row r="39" spans="1:6" ht="12.75">
      <c r="A39" s="9" t="s">
        <v>33</v>
      </c>
      <c r="B39" s="3">
        <v>513.85</v>
      </c>
      <c r="C39" s="3">
        <v>820</v>
      </c>
      <c r="D39" s="3">
        <v>600</v>
      </c>
      <c r="E39" s="3">
        <v>600</v>
      </c>
      <c r="F39" s="3">
        <v>600</v>
      </c>
    </row>
    <row r="40" spans="1:6" ht="12.75">
      <c r="A40" s="9" t="s">
        <v>34</v>
      </c>
      <c r="B40" s="3">
        <v>2263.37</v>
      </c>
      <c r="C40" s="3">
        <v>2515</v>
      </c>
      <c r="D40" s="3">
        <v>2515</v>
      </c>
      <c r="E40" s="3">
        <v>2515</v>
      </c>
      <c r="F40" s="3">
        <v>2515</v>
      </c>
    </row>
    <row r="41" spans="1:6" ht="25.5">
      <c r="A41" s="9" t="s">
        <v>35</v>
      </c>
      <c r="B41" s="99"/>
      <c r="C41" s="3">
        <v>0</v>
      </c>
      <c r="D41" s="3">
        <v>300</v>
      </c>
      <c r="E41" s="3">
        <v>300</v>
      </c>
      <c r="F41" s="3">
        <v>300</v>
      </c>
    </row>
    <row r="42" spans="1:6" ht="12.75">
      <c r="A42" s="9" t="s">
        <v>36</v>
      </c>
      <c r="B42" s="3">
        <v>497.76</v>
      </c>
      <c r="C42" s="3">
        <v>500</v>
      </c>
      <c r="D42" s="3">
        <v>500</v>
      </c>
      <c r="E42" s="3">
        <v>500</v>
      </c>
      <c r="F42" s="3">
        <v>500</v>
      </c>
    </row>
    <row r="43" spans="1:6" ht="12.75">
      <c r="A43" s="9" t="s">
        <v>37</v>
      </c>
      <c r="B43" s="3">
        <v>4288.43</v>
      </c>
      <c r="C43" s="3">
        <v>2080</v>
      </c>
      <c r="D43" s="3">
        <v>2200</v>
      </c>
      <c r="E43" s="3">
        <v>2200</v>
      </c>
      <c r="F43" s="3">
        <v>2200</v>
      </c>
    </row>
    <row r="44" spans="1:6" ht="12.75">
      <c r="A44" s="9" t="s">
        <v>38</v>
      </c>
      <c r="B44" s="3">
        <v>950.69</v>
      </c>
      <c r="C44" s="3">
        <v>860</v>
      </c>
      <c r="D44" s="3">
        <v>950</v>
      </c>
      <c r="E44" s="3">
        <v>950</v>
      </c>
      <c r="F44" s="3">
        <v>950</v>
      </c>
    </row>
    <row r="45" spans="1:6" ht="12.75">
      <c r="A45" s="9" t="s">
        <v>39</v>
      </c>
      <c r="B45" s="99"/>
      <c r="C45" s="3">
        <v>200</v>
      </c>
      <c r="D45" s="3">
        <v>200</v>
      </c>
      <c r="E45" s="3">
        <v>200</v>
      </c>
      <c r="F45" s="3">
        <v>200</v>
      </c>
    </row>
    <row r="46" spans="1:6" ht="12.75">
      <c r="A46" s="9" t="s">
        <v>40</v>
      </c>
      <c r="B46" s="3">
        <v>163.09</v>
      </c>
      <c r="C46" s="3">
        <v>200</v>
      </c>
      <c r="D46" s="3">
        <v>200</v>
      </c>
      <c r="E46" s="3">
        <v>200</v>
      </c>
      <c r="F46" s="3">
        <v>200</v>
      </c>
    </row>
    <row r="47" spans="1:6" ht="12.75">
      <c r="A47" s="9" t="s">
        <v>41</v>
      </c>
      <c r="B47" s="3">
        <v>130</v>
      </c>
      <c r="C47" s="3">
        <v>300</v>
      </c>
      <c r="D47" s="3">
        <v>300</v>
      </c>
      <c r="E47" s="3">
        <v>300</v>
      </c>
      <c r="F47" s="3">
        <v>300</v>
      </c>
    </row>
    <row r="48" spans="1:6" ht="12.75">
      <c r="A48" s="9" t="s">
        <v>42</v>
      </c>
      <c r="B48" s="3">
        <v>166.18</v>
      </c>
      <c r="C48" s="3">
        <v>400</v>
      </c>
      <c r="D48" s="3">
        <v>400</v>
      </c>
      <c r="E48" s="3">
        <v>400</v>
      </c>
      <c r="F48" s="3">
        <v>400</v>
      </c>
    </row>
    <row r="49" spans="1:6" ht="12.75">
      <c r="A49" s="9" t="s">
        <v>43</v>
      </c>
      <c r="B49" s="3">
        <v>558.42999999999995</v>
      </c>
      <c r="C49" s="3">
        <v>40</v>
      </c>
      <c r="D49" s="3"/>
      <c r="E49" s="3"/>
      <c r="F49" s="3"/>
    </row>
    <row r="50" spans="1:6" ht="12.75">
      <c r="A50" s="9" t="s">
        <v>44</v>
      </c>
      <c r="B50" s="3">
        <v>591.57000000000005</v>
      </c>
      <c r="C50" s="3">
        <v>150</v>
      </c>
      <c r="D50" s="3">
        <v>100</v>
      </c>
      <c r="E50" s="3">
        <v>100</v>
      </c>
      <c r="F50" s="3">
        <v>100</v>
      </c>
    </row>
    <row r="51" spans="1:6" ht="25.5">
      <c r="A51" s="10" t="s">
        <v>45</v>
      </c>
      <c r="B51" s="7">
        <f>+B52</f>
        <v>932502.24</v>
      </c>
      <c r="C51" s="7">
        <f t="shared" ref="C51:F51" si="2">+C52</f>
        <v>1075000</v>
      </c>
      <c r="D51" s="7">
        <f t="shared" si="2"/>
        <v>1075000</v>
      </c>
      <c r="E51" s="7">
        <f t="shared" si="2"/>
        <v>1075000</v>
      </c>
      <c r="F51" s="7">
        <f t="shared" si="2"/>
        <v>1075000</v>
      </c>
    </row>
    <row r="52" spans="1:6" ht="25.5">
      <c r="A52" s="8" t="s">
        <v>46</v>
      </c>
      <c r="B52" s="3">
        <f>SUM(B53:B61)</f>
        <v>932502.24</v>
      </c>
      <c r="C52" s="3">
        <f t="shared" ref="C52:F52" si="3">SUM(C53:C61)</f>
        <v>1075000</v>
      </c>
      <c r="D52" s="3">
        <f t="shared" si="3"/>
        <v>1075000</v>
      </c>
      <c r="E52" s="3">
        <f t="shared" si="3"/>
        <v>1075000</v>
      </c>
      <c r="F52" s="3">
        <f t="shared" si="3"/>
        <v>1075000</v>
      </c>
    </row>
    <row r="53" spans="1:6" ht="12.75">
      <c r="A53" s="9" t="s">
        <v>47</v>
      </c>
      <c r="B53" s="3">
        <v>738006.87</v>
      </c>
      <c r="C53" s="3">
        <v>848000</v>
      </c>
      <c r="D53" s="3">
        <v>848000</v>
      </c>
      <c r="E53" s="3">
        <v>848000</v>
      </c>
      <c r="F53" s="3">
        <v>848000</v>
      </c>
    </row>
    <row r="54" spans="1:6" ht="12.75">
      <c r="A54" s="9" t="s">
        <v>48</v>
      </c>
      <c r="B54" s="3">
        <v>17423.23</v>
      </c>
      <c r="C54" s="3">
        <v>16600</v>
      </c>
      <c r="D54" s="3">
        <v>16600</v>
      </c>
      <c r="E54" s="3">
        <v>16600</v>
      </c>
      <c r="F54" s="3">
        <v>16600</v>
      </c>
    </row>
    <row r="55" spans="1:6" ht="12.75">
      <c r="A55" s="9" t="s">
        <v>49</v>
      </c>
      <c r="B55" s="3">
        <v>3000</v>
      </c>
      <c r="C55" s="3">
        <v>3500</v>
      </c>
      <c r="D55" s="3">
        <v>3500</v>
      </c>
      <c r="E55" s="3">
        <v>3500</v>
      </c>
      <c r="F55" s="3">
        <v>3500</v>
      </c>
    </row>
    <row r="56" spans="1:6" ht="12.75">
      <c r="A56" s="9" t="s">
        <v>50</v>
      </c>
      <c r="B56" s="3">
        <v>1324.32</v>
      </c>
      <c r="C56" s="3">
        <v>3000</v>
      </c>
      <c r="D56" s="3">
        <v>3000</v>
      </c>
      <c r="E56" s="3">
        <v>3000</v>
      </c>
      <c r="F56" s="3">
        <v>3000</v>
      </c>
    </row>
    <row r="57" spans="1:6" ht="12.75">
      <c r="A57" s="9" t="s">
        <v>51</v>
      </c>
      <c r="B57" s="3">
        <v>10800</v>
      </c>
      <c r="C57" s="3">
        <v>10500</v>
      </c>
      <c r="D57" s="3">
        <v>10500</v>
      </c>
      <c r="E57" s="3">
        <v>10500</v>
      </c>
      <c r="F57" s="3">
        <v>10500</v>
      </c>
    </row>
    <row r="58" spans="1:6" ht="12.75">
      <c r="A58" s="9" t="s">
        <v>52</v>
      </c>
      <c r="B58" s="3">
        <v>220.72</v>
      </c>
      <c r="C58" s="3">
        <v>1200</v>
      </c>
      <c r="D58" s="3">
        <v>900</v>
      </c>
      <c r="E58" s="3">
        <v>900</v>
      </c>
      <c r="F58" s="3">
        <v>900</v>
      </c>
    </row>
    <row r="59" spans="1:6" ht="12.75">
      <c r="A59" s="9" t="s">
        <v>53</v>
      </c>
      <c r="B59" s="3">
        <v>121914.29</v>
      </c>
      <c r="C59" s="3">
        <v>140000</v>
      </c>
      <c r="D59" s="3">
        <v>140000</v>
      </c>
      <c r="E59" s="3">
        <v>140000</v>
      </c>
      <c r="F59" s="3">
        <v>140000</v>
      </c>
    </row>
    <row r="60" spans="1:6" ht="12.75">
      <c r="A60" s="9" t="s">
        <v>54</v>
      </c>
      <c r="B60" s="3">
        <v>36676.81</v>
      </c>
      <c r="C60" s="3">
        <v>49100</v>
      </c>
      <c r="D60" s="3">
        <v>50000</v>
      </c>
      <c r="E60" s="3">
        <v>50000</v>
      </c>
      <c r="F60" s="3">
        <v>50000</v>
      </c>
    </row>
    <row r="61" spans="1:6" ht="25.5">
      <c r="A61" s="9" t="s">
        <v>55</v>
      </c>
      <c r="B61" s="3">
        <v>3136</v>
      </c>
      <c r="C61" s="3">
        <v>3100</v>
      </c>
      <c r="D61" s="3">
        <v>2500</v>
      </c>
      <c r="E61" s="3">
        <v>2500</v>
      </c>
      <c r="F61" s="3">
        <v>2500</v>
      </c>
    </row>
    <row r="62" spans="1:6" ht="12.75">
      <c r="A62" s="6" t="s">
        <v>56</v>
      </c>
      <c r="B62" s="7">
        <f>+B63+B80+B70</f>
        <v>30153.559999999998</v>
      </c>
      <c r="C62" s="7">
        <f>+C63+C80+C70</f>
        <v>41182</v>
      </c>
      <c r="D62" s="7">
        <f t="shared" ref="D62:F62" si="4">+D63+D80+D70</f>
        <v>5150</v>
      </c>
      <c r="E62" s="7">
        <f t="shared" si="4"/>
        <v>5150</v>
      </c>
      <c r="F62" s="7">
        <f t="shared" si="4"/>
        <v>5150</v>
      </c>
    </row>
    <row r="63" spans="1:6" ht="12.75">
      <c r="A63" s="8" t="s">
        <v>57</v>
      </c>
      <c r="B63" s="3">
        <f>SUM(B64:B69)</f>
        <v>20230.25</v>
      </c>
      <c r="C63" s="3">
        <f t="shared" ref="C63:F63" si="5">SUM(C64:C69)</f>
        <v>21506</v>
      </c>
      <c r="D63" s="3">
        <f t="shared" si="5"/>
        <v>4450</v>
      </c>
      <c r="E63" s="3">
        <f t="shared" si="5"/>
        <v>4450</v>
      </c>
      <c r="F63" s="3">
        <f t="shared" si="5"/>
        <v>4450</v>
      </c>
    </row>
    <row r="64" spans="1:6" ht="12.75">
      <c r="A64" s="9" t="s">
        <v>15</v>
      </c>
      <c r="B64" s="3">
        <v>133.33000000000001</v>
      </c>
      <c r="C64" s="154">
        <v>0</v>
      </c>
      <c r="D64" s="3">
        <v>200</v>
      </c>
      <c r="E64" s="3">
        <v>200</v>
      </c>
      <c r="F64" s="3">
        <v>200</v>
      </c>
    </row>
    <row r="65" spans="1:6" ht="25.5">
      <c r="A65" s="9" t="s">
        <v>24</v>
      </c>
      <c r="B65" s="99"/>
      <c r="C65" s="154">
        <v>4500</v>
      </c>
      <c r="D65" s="3">
        <v>2250</v>
      </c>
      <c r="E65" s="3">
        <v>2250</v>
      </c>
      <c r="F65" s="3">
        <v>2250</v>
      </c>
    </row>
    <row r="66" spans="1:6" ht="12.75">
      <c r="A66" s="9" t="s">
        <v>36</v>
      </c>
      <c r="B66" s="99"/>
      <c r="C66" s="154">
        <v>0</v>
      </c>
      <c r="D66" s="3"/>
      <c r="E66" s="3"/>
      <c r="F66" s="3"/>
    </row>
    <row r="67" spans="1:6" ht="12.75">
      <c r="A67" s="9" t="s">
        <v>37</v>
      </c>
      <c r="B67" s="3">
        <v>4000</v>
      </c>
      <c r="C67" s="155"/>
      <c r="D67" s="99"/>
      <c r="E67" s="99"/>
      <c r="F67" s="99"/>
    </row>
    <row r="68" spans="1:6" ht="12.75">
      <c r="A68" s="9" t="s">
        <v>58</v>
      </c>
      <c r="B68" s="3">
        <v>2000</v>
      </c>
      <c r="C68" s="154">
        <v>2106</v>
      </c>
      <c r="D68" s="3">
        <v>2000</v>
      </c>
      <c r="E68" s="3">
        <v>2000</v>
      </c>
      <c r="F68" s="3">
        <v>2000</v>
      </c>
    </row>
    <row r="69" spans="1:6" ht="12.75">
      <c r="A69" s="9" t="s">
        <v>59</v>
      </c>
      <c r="B69" s="3">
        <v>14096.92</v>
      </c>
      <c r="C69" s="154">
        <v>14900</v>
      </c>
      <c r="D69" s="99"/>
      <c r="E69" s="99"/>
      <c r="F69" s="99"/>
    </row>
    <row r="70" spans="1:6" ht="25.5">
      <c r="A70" s="8" t="s">
        <v>61</v>
      </c>
      <c r="B70" s="3">
        <f>SUM(B71:B79)</f>
        <v>9238.49</v>
      </c>
      <c r="C70" s="154">
        <f t="shared" ref="C70:F70" si="6">SUM(C71:C79)</f>
        <v>700</v>
      </c>
      <c r="D70" s="3">
        <f t="shared" si="6"/>
        <v>700</v>
      </c>
      <c r="E70" s="3">
        <f t="shared" si="6"/>
        <v>700</v>
      </c>
      <c r="F70" s="3">
        <f t="shared" si="6"/>
        <v>700</v>
      </c>
    </row>
    <row r="71" spans="1:6" ht="12.75">
      <c r="A71" s="9" t="s">
        <v>62</v>
      </c>
      <c r="B71" s="3">
        <v>6201.06</v>
      </c>
      <c r="C71" s="155"/>
      <c r="D71" s="99"/>
      <c r="E71" s="99"/>
      <c r="F71" s="99"/>
    </row>
    <row r="72" spans="1:6" ht="12.75">
      <c r="A72" s="9" t="s">
        <v>48</v>
      </c>
      <c r="B72" s="3">
        <v>300</v>
      </c>
      <c r="C72" s="155"/>
      <c r="D72" s="99"/>
      <c r="E72" s="99"/>
      <c r="F72" s="99"/>
    </row>
    <row r="73" spans="1:6" ht="12.75">
      <c r="A73" s="9" t="s">
        <v>51</v>
      </c>
      <c r="B73" s="99"/>
      <c r="C73" s="155"/>
      <c r="D73" s="99"/>
      <c r="E73" s="99"/>
      <c r="F73" s="99"/>
    </row>
    <row r="74" spans="1:6" ht="12.75">
      <c r="A74" s="9" t="s">
        <v>53</v>
      </c>
      <c r="B74" s="3">
        <v>1023.18</v>
      </c>
      <c r="C74" s="155"/>
      <c r="D74" s="99"/>
      <c r="E74" s="99"/>
      <c r="F74" s="99"/>
    </row>
    <row r="75" spans="1:6" ht="12.75">
      <c r="A75" s="9" t="s">
        <v>54</v>
      </c>
      <c r="B75" s="3">
        <v>156.49</v>
      </c>
      <c r="C75" s="155"/>
      <c r="D75" s="99"/>
      <c r="E75" s="99"/>
      <c r="F75" s="99"/>
    </row>
    <row r="76" spans="1:6" ht="12.75">
      <c r="A76" s="9" t="s">
        <v>25</v>
      </c>
      <c r="B76" s="3">
        <v>41.4</v>
      </c>
      <c r="C76" s="155"/>
      <c r="D76" s="99"/>
      <c r="E76" s="99"/>
      <c r="F76" s="99"/>
    </row>
    <row r="77" spans="1:6" ht="12.75">
      <c r="A77" s="9" t="s">
        <v>37</v>
      </c>
      <c r="B77" s="3">
        <v>568.36</v>
      </c>
      <c r="C77" s="154">
        <v>100</v>
      </c>
      <c r="D77" s="3">
        <v>100</v>
      </c>
      <c r="E77" s="3">
        <v>100</v>
      </c>
      <c r="F77" s="3">
        <v>100</v>
      </c>
    </row>
    <row r="78" spans="1:6" ht="12.75">
      <c r="A78" s="9" t="s">
        <v>63</v>
      </c>
      <c r="B78" s="3">
        <v>528</v>
      </c>
      <c r="C78" s="154">
        <v>600</v>
      </c>
      <c r="D78" s="3">
        <v>600</v>
      </c>
      <c r="E78" s="3">
        <v>600</v>
      </c>
      <c r="F78" s="3">
        <v>600</v>
      </c>
    </row>
    <row r="79" spans="1:6" ht="12.75">
      <c r="A79" s="9" t="s">
        <v>64</v>
      </c>
      <c r="B79" s="3">
        <v>420</v>
      </c>
      <c r="C79" s="99"/>
      <c r="D79" s="99"/>
      <c r="E79" s="99"/>
      <c r="F79" s="99"/>
    </row>
    <row r="80" spans="1:6" ht="12.75">
      <c r="A80" s="8" t="s">
        <v>241</v>
      </c>
      <c r="B80" s="3">
        <f>+B86</f>
        <v>684.82</v>
      </c>
      <c r="C80" s="154">
        <f>SUM(C81:C88)</f>
        <v>18976</v>
      </c>
      <c r="D80" s="3">
        <f>+D86</f>
        <v>0</v>
      </c>
      <c r="E80" s="3">
        <f>+E86</f>
        <v>0</v>
      </c>
      <c r="F80" s="3">
        <f>+F86</f>
        <v>0</v>
      </c>
    </row>
    <row r="81" spans="1:6" ht="12.75">
      <c r="A81" s="9" t="s">
        <v>62</v>
      </c>
      <c r="B81" s="3"/>
      <c r="C81" s="154">
        <v>14811</v>
      </c>
      <c r="D81" s="3"/>
      <c r="E81" s="3"/>
      <c r="F81" s="3"/>
    </row>
    <row r="82" spans="1:6" ht="12.75">
      <c r="A82" s="9" t="s">
        <v>48</v>
      </c>
      <c r="B82" s="3"/>
      <c r="C82" s="154">
        <v>100</v>
      </c>
      <c r="D82" s="3"/>
      <c r="E82" s="3"/>
      <c r="F82" s="3"/>
    </row>
    <row r="83" spans="1:6" ht="12.75">
      <c r="A83" s="9" t="s">
        <v>51</v>
      </c>
      <c r="B83" s="3"/>
      <c r="C83" s="154">
        <v>600</v>
      </c>
      <c r="D83" s="3"/>
      <c r="E83" s="3"/>
      <c r="F83" s="3"/>
    </row>
    <row r="84" spans="1:6" ht="12.75">
      <c r="A84" s="9" t="s">
        <v>53</v>
      </c>
      <c r="B84" s="3"/>
      <c r="C84" s="154">
        <v>2445</v>
      </c>
      <c r="D84" s="3"/>
      <c r="E84" s="3"/>
      <c r="F84" s="3"/>
    </row>
    <row r="85" spans="1:6" ht="12.75">
      <c r="A85" s="9" t="s">
        <v>54</v>
      </c>
      <c r="B85" s="3"/>
      <c r="C85" s="154">
        <v>320</v>
      </c>
      <c r="D85" s="3"/>
      <c r="E85" s="3"/>
      <c r="F85" s="3"/>
    </row>
    <row r="86" spans="1:6" ht="12.75">
      <c r="A86" s="9" t="s">
        <v>15</v>
      </c>
      <c r="B86" s="3">
        <v>684.82</v>
      </c>
      <c r="C86" s="154">
        <v>20</v>
      </c>
      <c r="D86" s="99"/>
      <c r="E86" s="99"/>
      <c r="F86" s="99"/>
    </row>
    <row r="87" spans="1:6" ht="12.75">
      <c r="A87" s="9" t="s">
        <v>42</v>
      </c>
      <c r="B87" s="3"/>
      <c r="C87" s="154">
        <v>80</v>
      </c>
      <c r="D87" s="99"/>
      <c r="E87" s="99"/>
      <c r="F87" s="99"/>
    </row>
    <row r="88" spans="1:6" ht="12.75">
      <c r="A88" s="9" t="s">
        <v>245</v>
      </c>
      <c r="B88" s="3"/>
      <c r="C88" s="154">
        <v>600</v>
      </c>
      <c r="D88" s="99"/>
      <c r="E88" s="99"/>
      <c r="F88" s="99"/>
    </row>
    <row r="89" spans="1:6" ht="12.75">
      <c r="A89" s="6" t="s">
        <v>66</v>
      </c>
      <c r="B89" s="7">
        <f>+B90+B97+B99</f>
        <v>43217.36</v>
      </c>
      <c r="C89" s="7">
        <f>+C90+C97+C99+C120</f>
        <v>74610</v>
      </c>
      <c r="D89" s="7">
        <f t="shared" ref="D89:F89" si="7">+D90+D97+D99</f>
        <v>70130</v>
      </c>
      <c r="E89" s="7">
        <f t="shared" si="7"/>
        <v>70130</v>
      </c>
      <c r="F89" s="7">
        <f t="shared" si="7"/>
        <v>70130</v>
      </c>
    </row>
    <row r="90" spans="1:6" ht="12.75">
      <c r="A90" s="8" t="s">
        <v>57</v>
      </c>
      <c r="B90" s="3">
        <f>SUM(B91:B96)</f>
        <v>29860.000000000004</v>
      </c>
      <c r="C90" s="3">
        <f t="shared" ref="C90:F90" si="8">SUM(C91:C96)</f>
        <v>49270</v>
      </c>
      <c r="D90" s="3">
        <f t="shared" si="8"/>
        <v>52400</v>
      </c>
      <c r="E90" s="3">
        <f t="shared" si="8"/>
        <v>52400</v>
      </c>
      <c r="F90" s="3">
        <f t="shared" si="8"/>
        <v>52400</v>
      </c>
    </row>
    <row r="91" spans="1:6" ht="12.75">
      <c r="A91" s="9" t="s">
        <v>47</v>
      </c>
      <c r="B91" s="3">
        <v>23942.83</v>
      </c>
      <c r="C91" s="3">
        <v>39000</v>
      </c>
      <c r="D91" s="3">
        <v>42000</v>
      </c>
      <c r="E91" s="3">
        <v>42000</v>
      </c>
      <c r="F91" s="3">
        <v>42000</v>
      </c>
    </row>
    <row r="92" spans="1:6" ht="12.75">
      <c r="A92" s="9" t="s">
        <v>48</v>
      </c>
      <c r="B92" s="3">
        <v>600</v>
      </c>
      <c r="C92" s="3">
        <v>800</v>
      </c>
      <c r="D92" s="3">
        <v>800</v>
      </c>
      <c r="E92" s="3">
        <v>800</v>
      </c>
      <c r="F92" s="3">
        <v>800</v>
      </c>
    </row>
    <row r="93" spans="1:6" ht="12.75">
      <c r="A93" s="9" t="s">
        <v>49</v>
      </c>
      <c r="B93" s="3">
        <v>200</v>
      </c>
      <c r="C93" s="3">
        <v>200</v>
      </c>
      <c r="D93" s="3">
        <v>200</v>
      </c>
      <c r="E93" s="3">
        <v>200</v>
      </c>
      <c r="F93" s="3">
        <v>200</v>
      </c>
    </row>
    <row r="94" spans="1:6" ht="12.75">
      <c r="A94" s="9" t="s">
        <v>51</v>
      </c>
      <c r="B94" s="3">
        <v>300</v>
      </c>
      <c r="C94" s="3">
        <v>1200</v>
      </c>
      <c r="D94" s="3">
        <v>600</v>
      </c>
      <c r="E94" s="3">
        <v>600</v>
      </c>
      <c r="F94" s="3">
        <v>600</v>
      </c>
    </row>
    <row r="95" spans="1:6" ht="12.75">
      <c r="A95" s="9" t="s">
        <v>53</v>
      </c>
      <c r="B95" s="3">
        <v>3950.59</v>
      </c>
      <c r="C95" s="3">
        <v>6420</v>
      </c>
      <c r="D95" s="3">
        <v>7000</v>
      </c>
      <c r="E95" s="3">
        <v>7000</v>
      </c>
      <c r="F95" s="3">
        <v>7000</v>
      </c>
    </row>
    <row r="96" spans="1:6" ht="12.75">
      <c r="A96" s="9" t="s">
        <v>54</v>
      </c>
      <c r="B96" s="3">
        <v>866.58</v>
      </c>
      <c r="C96" s="3">
        <v>1650</v>
      </c>
      <c r="D96" s="3">
        <v>1800</v>
      </c>
      <c r="E96" s="3">
        <v>1800</v>
      </c>
      <c r="F96" s="3">
        <v>1800</v>
      </c>
    </row>
    <row r="97" spans="1:6" ht="12.75">
      <c r="A97" s="8" t="s">
        <v>60</v>
      </c>
      <c r="B97" s="3">
        <f>+B98</f>
        <v>1575.25</v>
      </c>
      <c r="C97" s="3">
        <f t="shared" ref="C97:F97" si="9">+C98</f>
        <v>0</v>
      </c>
      <c r="D97" s="3">
        <f t="shared" si="9"/>
        <v>0</v>
      </c>
      <c r="E97" s="3">
        <f t="shared" si="9"/>
        <v>0</v>
      </c>
      <c r="F97" s="3">
        <f t="shared" si="9"/>
        <v>0</v>
      </c>
    </row>
    <row r="98" spans="1:6" ht="25.5">
      <c r="A98" s="9" t="s">
        <v>67</v>
      </c>
      <c r="B98" s="3">
        <v>1575.25</v>
      </c>
      <c r="C98" s="99"/>
      <c r="D98" s="99"/>
      <c r="E98" s="99"/>
      <c r="F98" s="99"/>
    </row>
    <row r="99" spans="1:6" ht="25.5">
      <c r="A99" s="8" t="s">
        <v>61</v>
      </c>
      <c r="B99" s="3">
        <f>SUM(B100:B115)</f>
        <v>11782.109999999999</v>
      </c>
      <c r="C99" s="3">
        <f>SUM(C100:C119)</f>
        <v>22000</v>
      </c>
      <c r="D99" s="3">
        <f>SUM(D100:D119)</f>
        <v>17730</v>
      </c>
      <c r="E99" s="3">
        <f>SUM(E100:E119)</f>
        <v>17730</v>
      </c>
      <c r="F99" s="3">
        <f>SUM(F100:F119)</f>
        <v>17730</v>
      </c>
    </row>
    <row r="100" spans="1:6" ht="12.75">
      <c r="A100" s="9" t="s">
        <v>47</v>
      </c>
      <c r="B100" s="3">
        <v>5611.98</v>
      </c>
      <c r="C100" s="3">
        <v>8000</v>
      </c>
      <c r="D100" s="3">
        <v>8500</v>
      </c>
      <c r="E100" s="3">
        <v>8500</v>
      </c>
      <c r="F100" s="3">
        <v>8500</v>
      </c>
    </row>
    <row r="101" spans="1:6" ht="12.75">
      <c r="A101" s="9" t="s">
        <v>53</v>
      </c>
      <c r="B101" s="3">
        <v>925.99</v>
      </c>
      <c r="C101" s="3">
        <v>1320</v>
      </c>
      <c r="D101" s="3">
        <v>1400</v>
      </c>
      <c r="E101" s="3">
        <v>1400</v>
      </c>
      <c r="F101" s="3">
        <v>1400</v>
      </c>
    </row>
    <row r="102" spans="1:6" ht="12.75">
      <c r="A102" s="9" t="s">
        <v>54</v>
      </c>
      <c r="B102" s="3">
        <v>257.85000000000002</v>
      </c>
      <c r="C102" s="3">
        <v>385</v>
      </c>
      <c r="D102" s="3">
        <v>400</v>
      </c>
      <c r="E102" s="3">
        <v>400</v>
      </c>
      <c r="F102" s="3">
        <v>400</v>
      </c>
    </row>
    <row r="103" spans="1:6" ht="12.75">
      <c r="A103" s="9" t="s">
        <v>11</v>
      </c>
      <c r="B103" s="3">
        <v>421.15</v>
      </c>
      <c r="C103" s="3">
        <v>800</v>
      </c>
      <c r="D103" s="3">
        <v>600</v>
      </c>
      <c r="E103" s="3">
        <v>600</v>
      </c>
      <c r="F103" s="3">
        <v>600</v>
      </c>
    </row>
    <row r="104" spans="1:6" ht="25.5">
      <c r="A104" s="9" t="s">
        <v>12</v>
      </c>
      <c r="B104" s="3">
        <v>103.68</v>
      </c>
      <c r="C104" s="3">
        <v>200</v>
      </c>
      <c r="D104" s="3">
        <v>200</v>
      </c>
      <c r="E104" s="3">
        <v>200</v>
      </c>
      <c r="F104" s="3">
        <v>200</v>
      </c>
    </row>
    <row r="105" spans="1:6" ht="12.75">
      <c r="A105" s="9" t="s">
        <v>13</v>
      </c>
      <c r="B105" s="3">
        <v>772.79</v>
      </c>
      <c r="C105" s="3">
        <v>700</v>
      </c>
      <c r="D105" s="3">
        <v>500</v>
      </c>
      <c r="E105" s="3">
        <v>500</v>
      </c>
      <c r="F105" s="3">
        <v>500</v>
      </c>
    </row>
    <row r="106" spans="1:6" ht="12.75">
      <c r="A106" s="9" t="s">
        <v>14</v>
      </c>
      <c r="B106" s="3">
        <v>1156.5</v>
      </c>
      <c r="C106" s="3">
        <v>700</v>
      </c>
      <c r="D106" s="3">
        <v>700</v>
      </c>
      <c r="E106" s="3">
        <v>700</v>
      </c>
      <c r="F106" s="3">
        <v>700</v>
      </c>
    </row>
    <row r="107" spans="1:6" ht="12.75">
      <c r="A107" s="9" t="s">
        <v>15</v>
      </c>
      <c r="B107" s="3">
        <v>1561.12</v>
      </c>
      <c r="C107" s="3">
        <v>1300</v>
      </c>
      <c r="D107" s="3">
        <v>800</v>
      </c>
      <c r="E107" s="3">
        <v>800</v>
      </c>
      <c r="F107" s="3">
        <v>800</v>
      </c>
    </row>
    <row r="108" spans="1:6" ht="12.75">
      <c r="A108" s="9" t="s">
        <v>17</v>
      </c>
      <c r="B108" s="3">
        <v>250.6</v>
      </c>
      <c r="C108" s="3">
        <v>0</v>
      </c>
      <c r="D108" s="3">
        <v>500</v>
      </c>
      <c r="E108" s="3">
        <v>500</v>
      </c>
      <c r="F108" s="3">
        <v>500</v>
      </c>
    </row>
    <row r="109" spans="1:6" ht="12.75">
      <c r="A109" s="9" t="s">
        <v>18</v>
      </c>
      <c r="B109" s="99"/>
      <c r="C109" s="3">
        <v>200</v>
      </c>
      <c r="D109" s="3">
        <v>200</v>
      </c>
      <c r="E109" s="3">
        <v>200</v>
      </c>
      <c r="F109" s="3">
        <v>200</v>
      </c>
    </row>
    <row r="110" spans="1:6" ht="25.5">
      <c r="A110" s="9" t="s">
        <v>68</v>
      </c>
      <c r="B110" s="99"/>
      <c r="C110" s="3">
        <v>270</v>
      </c>
      <c r="D110" s="3">
        <v>270</v>
      </c>
      <c r="E110" s="3">
        <v>270</v>
      </c>
      <c r="F110" s="3">
        <v>270</v>
      </c>
    </row>
    <row r="111" spans="1:6" ht="25.5">
      <c r="A111" s="9" t="s">
        <v>20</v>
      </c>
      <c r="B111" s="3">
        <v>197.94</v>
      </c>
      <c r="C111" s="3">
        <v>485</v>
      </c>
      <c r="D111" s="3">
        <v>300</v>
      </c>
      <c r="E111" s="3">
        <v>300</v>
      </c>
      <c r="F111" s="3">
        <v>300</v>
      </c>
    </row>
    <row r="112" spans="1:6" ht="25.5">
      <c r="A112" s="9" t="s">
        <v>67</v>
      </c>
      <c r="B112" s="3">
        <v>94.75</v>
      </c>
      <c r="C112" s="3">
        <v>200</v>
      </c>
      <c r="D112" s="3">
        <v>200</v>
      </c>
      <c r="E112" s="3">
        <v>200</v>
      </c>
      <c r="F112" s="3">
        <v>200</v>
      </c>
    </row>
    <row r="113" spans="1:6" ht="25.5">
      <c r="A113" s="9" t="s">
        <v>24</v>
      </c>
      <c r="B113" s="99"/>
      <c r="C113" s="3">
        <v>290</v>
      </c>
      <c r="D113" s="3">
        <v>290</v>
      </c>
      <c r="E113" s="3">
        <v>290</v>
      </c>
      <c r="F113" s="3">
        <v>290</v>
      </c>
    </row>
    <row r="114" spans="1:6" ht="12.75">
      <c r="A114" s="9" t="s">
        <v>69</v>
      </c>
      <c r="B114" s="3">
        <v>427.76</v>
      </c>
      <c r="C114" s="3">
        <v>800</v>
      </c>
      <c r="D114" s="3">
        <v>800</v>
      </c>
      <c r="E114" s="3">
        <v>800</v>
      </c>
      <c r="F114" s="3">
        <v>800</v>
      </c>
    </row>
    <row r="115" spans="1:6" ht="12.75">
      <c r="A115" s="9" t="s">
        <v>37</v>
      </c>
      <c r="B115" s="99"/>
      <c r="C115" s="3">
        <v>1000</v>
      </c>
      <c r="D115" s="3">
        <v>1000</v>
      </c>
      <c r="E115" s="3">
        <v>1000</v>
      </c>
      <c r="F115" s="3">
        <v>1000</v>
      </c>
    </row>
    <row r="116" spans="1:6" ht="12.75">
      <c r="A116" s="9" t="s">
        <v>43</v>
      </c>
      <c r="B116" s="99"/>
      <c r="C116" s="3">
        <v>450</v>
      </c>
      <c r="D116" s="3"/>
      <c r="E116" s="3"/>
      <c r="F116" s="3"/>
    </row>
    <row r="117" spans="1:6" ht="12.75">
      <c r="A117" s="9" t="s">
        <v>82</v>
      </c>
      <c r="B117" s="99"/>
      <c r="C117" s="3">
        <v>1830</v>
      </c>
      <c r="D117" s="3"/>
      <c r="E117" s="3"/>
      <c r="F117" s="3"/>
    </row>
    <row r="118" spans="1:6" ht="12.75">
      <c r="A118" s="9" t="s">
        <v>245</v>
      </c>
      <c r="B118" s="99"/>
      <c r="C118" s="3">
        <v>2740</v>
      </c>
      <c r="D118" s="3"/>
      <c r="E118" s="3"/>
      <c r="F118" s="3"/>
    </row>
    <row r="119" spans="1:6" ht="12.75">
      <c r="A119" s="9" t="s">
        <v>70</v>
      </c>
      <c r="B119" s="99"/>
      <c r="C119" s="3">
        <v>330</v>
      </c>
      <c r="D119" s="3">
        <v>1070</v>
      </c>
      <c r="E119" s="3">
        <v>1070</v>
      </c>
      <c r="F119" s="3">
        <v>1070</v>
      </c>
    </row>
    <row r="120" spans="1:6" ht="12.75">
      <c r="A120" s="8" t="s">
        <v>65</v>
      </c>
      <c r="B120" s="99"/>
      <c r="C120" s="3">
        <f>SUM(C121:C126)</f>
        <v>3340</v>
      </c>
      <c r="D120" s="99"/>
      <c r="E120" s="99"/>
      <c r="F120" s="99"/>
    </row>
    <row r="121" spans="1:6" ht="12.75">
      <c r="A121" s="9" t="s">
        <v>11</v>
      </c>
      <c r="B121" s="99"/>
      <c r="C121" s="3">
        <v>500</v>
      </c>
      <c r="D121" s="99"/>
      <c r="E121" s="99"/>
      <c r="F121" s="99"/>
    </row>
    <row r="122" spans="1:6" ht="12.75">
      <c r="A122" s="9" t="s">
        <v>13</v>
      </c>
      <c r="B122" s="99"/>
      <c r="C122" s="3">
        <v>400</v>
      </c>
      <c r="D122" s="99"/>
      <c r="E122" s="99"/>
      <c r="F122" s="99"/>
    </row>
    <row r="123" spans="1:6" ht="12.75">
      <c r="A123" s="9" t="s">
        <v>14</v>
      </c>
      <c r="B123" s="99"/>
      <c r="C123" s="3">
        <v>600</v>
      </c>
      <c r="D123" s="99"/>
      <c r="E123" s="99"/>
      <c r="F123" s="99"/>
    </row>
    <row r="124" spans="1:6" ht="12.75">
      <c r="A124" s="9" t="s">
        <v>15</v>
      </c>
      <c r="B124" s="99"/>
      <c r="C124" s="3">
        <v>640</v>
      </c>
      <c r="D124" s="99"/>
      <c r="E124" s="99"/>
      <c r="F124" s="99"/>
    </row>
    <row r="125" spans="1:6" ht="12.75">
      <c r="A125" s="9" t="s">
        <v>69</v>
      </c>
      <c r="B125" s="99"/>
      <c r="C125" s="3">
        <v>400</v>
      </c>
      <c r="D125" s="99"/>
      <c r="E125" s="99"/>
      <c r="F125" s="99"/>
    </row>
    <row r="126" spans="1:6" ht="12.75">
      <c r="A126" s="9" t="s">
        <v>70</v>
      </c>
      <c r="B126" s="99"/>
      <c r="C126" s="3">
        <v>800</v>
      </c>
      <c r="D126" s="99"/>
      <c r="E126" s="99"/>
      <c r="F126" s="99"/>
    </row>
    <row r="127" spans="1:6" ht="25.5">
      <c r="A127" s="6" t="s">
        <v>71</v>
      </c>
      <c r="B127" s="7">
        <f>+B128+B130</f>
        <v>4270</v>
      </c>
      <c r="C127" s="7">
        <f t="shared" ref="C127:F127" si="10">+C128+C130</f>
        <v>20502</v>
      </c>
      <c r="D127" s="7">
        <f t="shared" si="10"/>
        <v>0</v>
      </c>
      <c r="E127" s="7">
        <f t="shared" si="10"/>
        <v>0</v>
      </c>
      <c r="F127" s="7">
        <f t="shared" si="10"/>
        <v>0</v>
      </c>
    </row>
    <row r="128" spans="1:6" ht="12.75">
      <c r="A128" s="8" t="s">
        <v>57</v>
      </c>
      <c r="B128" s="3">
        <f>SUM(B129)</f>
        <v>0</v>
      </c>
      <c r="C128" s="3">
        <f t="shared" ref="C128:F128" si="11">SUM(C129)</f>
        <v>20502</v>
      </c>
      <c r="D128" s="3">
        <f t="shared" si="11"/>
        <v>0</v>
      </c>
      <c r="E128" s="3">
        <f t="shared" si="11"/>
        <v>0</v>
      </c>
      <c r="F128" s="3">
        <f t="shared" si="11"/>
        <v>0</v>
      </c>
    </row>
    <row r="129" spans="1:6" ht="25.5">
      <c r="A129" s="9" t="s">
        <v>67</v>
      </c>
      <c r="B129" s="99"/>
      <c r="C129" s="3">
        <v>20502</v>
      </c>
      <c r="D129" s="3"/>
      <c r="E129" s="3"/>
      <c r="F129" s="3"/>
    </row>
    <row r="130" spans="1:6" ht="12.75">
      <c r="A130" s="8" t="s">
        <v>72</v>
      </c>
      <c r="B130" s="3">
        <f>+B131</f>
        <v>4270</v>
      </c>
      <c r="C130" s="3">
        <f t="shared" ref="C130:F130" si="12">+C131</f>
        <v>0</v>
      </c>
      <c r="D130" s="3">
        <f t="shared" si="12"/>
        <v>0</v>
      </c>
      <c r="E130" s="3">
        <f t="shared" si="12"/>
        <v>0</v>
      </c>
      <c r="F130" s="3">
        <f t="shared" si="12"/>
        <v>0</v>
      </c>
    </row>
    <row r="131" spans="1:6" ht="25.5">
      <c r="A131" s="9" t="s">
        <v>67</v>
      </c>
      <c r="B131" s="3">
        <v>4270</v>
      </c>
      <c r="C131" s="99"/>
      <c r="D131" s="99"/>
      <c r="E131" s="99"/>
      <c r="F131" s="99"/>
    </row>
    <row r="132" spans="1:6" ht="12.75">
      <c r="A132" s="6" t="s">
        <v>73</v>
      </c>
      <c r="B132" s="7">
        <f>+B133</f>
        <v>13537.6</v>
      </c>
      <c r="C132" s="7">
        <f t="shared" ref="C132:F132" si="13">+C133</f>
        <v>11650</v>
      </c>
      <c r="D132" s="7">
        <f t="shared" si="13"/>
        <v>15150</v>
      </c>
      <c r="E132" s="7">
        <f t="shared" si="13"/>
        <v>15150</v>
      </c>
      <c r="F132" s="7">
        <f t="shared" si="13"/>
        <v>15150</v>
      </c>
    </row>
    <row r="133" spans="1:6" ht="12.75">
      <c r="A133" s="8" t="s">
        <v>57</v>
      </c>
      <c r="B133" s="3">
        <f>SUM(B134:B135)</f>
        <v>13537.6</v>
      </c>
      <c r="C133" s="3">
        <f t="shared" ref="C133:F133" si="14">SUM(C134:C135)</f>
        <v>11650</v>
      </c>
      <c r="D133" s="3">
        <f t="shared" si="14"/>
        <v>15150</v>
      </c>
      <c r="E133" s="3">
        <f t="shared" si="14"/>
        <v>15150</v>
      </c>
      <c r="F133" s="3">
        <f t="shared" si="14"/>
        <v>15150</v>
      </c>
    </row>
    <row r="134" spans="1:6" ht="12.75">
      <c r="A134" s="9" t="s">
        <v>47</v>
      </c>
      <c r="B134" s="3">
        <v>11620.25</v>
      </c>
      <c r="C134" s="3">
        <v>10000</v>
      </c>
      <c r="D134" s="3">
        <v>13000</v>
      </c>
      <c r="E134" s="3">
        <v>13000</v>
      </c>
      <c r="F134" s="3">
        <v>13000</v>
      </c>
    </row>
    <row r="135" spans="1:6" ht="12.75">
      <c r="A135" s="9" t="s">
        <v>53</v>
      </c>
      <c r="B135" s="3">
        <v>1917.35</v>
      </c>
      <c r="C135" s="3">
        <v>1650</v>
      </c>
      <c r="D135" s="3">
        <v>2150</v>
      </c>
      <c r="E135" s="3">
        <v>2150</v>
      </c>
      <c r="F135" s="3">
        <v>2150</v>
      </c>
    </row>
    <row r="136" spans="1:6" ht="12.75">
      <c r="A136" s="6" t="s">
        <v>74</v>
      </c>
      <c r="B136" s="7">
        <f>+B137+B145</f>
        <v>21817.89</v>
      </c>
      <c r="C136" s="7">
        <f t="shared" ref="C136" si="15">+C137+C145</f>
        <v>41290</v>
      </c>
      <c r="D136" s="7">
        <f>+D137+D145</f>
        <v>43220</v>
      </c>
      <c r="E136" s="7">
        <f t="shared" ref="E136:F136" si="16">+E137+E145</f>
        <v>43220</v>
      </c>
      <c r="F136" s="7">
        <f t="shared" si="16"/>
        <v>43220</v>
      </c>
    </row>
    <row r="137" spans="1:6" ht="12.75">
      <c r="A137" s="8" t="s">
        <v>57</v>
      </c>
      <c r="B137" s="3">
        <f>SUM(B138:B144)</f>
        <v>16145.810000000001</v>
      </c>
      <c r="C137" s="3">
        <f t="shared" ref="C137" si="17">SUM(C138:C144)</f>
        <v>31620</v>
      </c>
      <c r="D137" s="3">
        <f>SUM(D138:D144)</f>
        <v>30620</v>
      </c>
      <c r="E137" s="3">
        <f t="shared" ref="E137:F137" si="18">SUM(E138:E144)</f>
        <v>30620</v>
      </c>
      <c r="F137" s="3">
        <f t="shared" si="18"/>
        <v>30620</v>
      </c>
    </row>
    <row r="138" spans="1:6" ht="12.75">
      <c r="A138" s="9" t="s">
        <v>47</v>
      </c>
      <c r="B138" s="3">
        <v>11758.12</v>
      </c>
      <c r="C138" s="3">
        <v>23700</v>
      </c>
      <c r="D138" s="3">
        <v>23000</v>
      </c>
      <c r="E138" s="3">
        <v>23000</v>
      </c>
      <c r="F138" s="3">
        <v>23000</v>
      </c>
    </row>
    <row r="139" spans="1:6" ht="12.75">
      <c r="A139" s="9" t="s">
        <v>48</v>
      </c>
      <c r="B139" s="3">
        <v>1100</v>
      </c>
      <c r="C139" s="3">
        <v>1200</v>
      </c>
      <c r="D139" s="3">
        <v>1200</v>
      </c>
      <c r="E139" s="3">
        <v>1200</v>
      </c>
      <c r="F139" s="3">
        <v>1200</v>
      </c>
    </row>
    <row r="140" spans="1:6" ht="12.75">
      <c r="A140" s="9" t="s">
        <v>49</v>
      </c>
      <c r="B140" s="3">
        <v>400</v>
      </c>
      <c r="C140" s="3">
        <v>500</v>
      </c>
      <c r="D140" s="3">
        <v>500</v>
      </c>
      <c r="E140" s="3">
        <v>500</v>
      </c>
      <c r="F140" s="3">
        <v>500</v>
      </c>
    </row>
    <row r="141" spans="1:6" ht="12.75">
      <c r="A141" s="9" t="s">
        <v>51</v>
      </c>
      <c r="B141" s="3">
        <v>600</v>
      </c>
      <c r="C141" s="3">
        <v>1200</v>
      </c>
      <c r="D141" s="3">
        <v>900</v>
      </c>
      <c r="E141" s="3">
        <v>900</v>
      </c>
      <c r="F141" s="3">
        <v>900</v>
      </c>
    </row>
    <row r="142" spans="1:6" ht="12.75">
      <c r="A142" s="9" t="s">
        <v>53</v>
      </c>
      <c r="B142" s="3">
        <v>1720</v>
      </c>
      <c r="C142" s="3">
        <v>3900</v>
      </c>
      <c r="D142" s="3">
        <v>3900</v>
      </c>
      <c r="E142" s="3">
        <v>3900</v>
      </c>
      <c r="F142" s="3">
        <v>3900</v>
      </c>
    </row>
    <row r="143" spans="1:6" ht="12.75">
      <c r="A143" s="9" t="s">
        <v>4</v>
      </c>
      <c r="B143" s="3">
        <v>120</v>
      </c>
      <c r="C143" s="3">
        <v>120</v>
      </c>
      <c r="D143" s="3">
        <v>120</v>
      </c>
      <c r="E143" s="3">
        <v>120</v>
      </c>
      <c r="F143" s="3">
        <v>120</v>
      </c>
    </row>
    <row r="144" spans="1:6" ht="12.75">
      <c r="A144" s="9" t="s">
        <v>54</v>
      </c>
      <c r="B144" s="3">
        <v>447.69</v>
      </c>
      <c r="C144" s="3">
        <v>1000</v>
      </c>
      <c r="D144" s="3">
        <v>1000</v>
      </c>
      <c r="E144" s="3">
        <v>1000</v>
      </c>
      <c r="F144" s="3">
        <v>1000</v>
      </c>
    </row>
    <row r="145" spans="1:6" ht="12.75">
      <c r="A145" s="8" t="s">
        <v>75</v>
      </c>
      <c r="B145" s="3">
        <f>+B146+B147</f>
        <v>5672.08</v>
      </c>
      <c r="C145" s="3">
        <f t="shared" ref="C145:F145" si="19">+C146+C147</f>
        <v>9670</v>
      </c>
      <c r="D145" s="3">
        <f t="shared" si="19"/>
        <v>12600</v>
      </c>
      <c r="E145" s="3">
        <f t="shared" si="19"/>
        <v>12600</v>
      </c>
      <c r="F145" s="3">
        <f t="shared" si="19"/>
        <v>12600</v>
      </c>
    </row>
    <row r="146" spans="1:6" ht="12.75">
      <c r="A146" s="9" t="s">
        <v>47</v>
      </c>
      <c r="B146" s="3">
        <v>4679.84</v>
      </c>
      <c r="C146" s="3">
        <v>8300</v>
      </c>
      <c r="D146" s="3">
        <v>10800</v>
      </c>
      <c r="E146" s="3">
        <v>10800</v>
      </c>
      <c r="F146" s="3">
        <v>10800</v>
      </c>
    </row>
    <row r="147" spans="1:6" ht="12.75">
      <c r="A147" s="9" t="s">
        <v>53</v>
      </c>
      <c r="B147" s="3">
        <v>992.24</v>
      </c>
      <c r="C147" s="3">
        <v>1370</v>
      </c>
      <c r="D147" s="3">
        <v>1800</v>
      </c>
      <c r="E147" s="3">
        <v>1800</v>
      </c>
      <c r="F147" s="3">
        <v>1800</v>
      </c>
    </row>
    <row r="148" spans="1:6" ht="12.75">
      <c r="A148" s="6" t="s">
        <v>238</v>
      </c>
      <c r="B148" s="7">
        <f>B149</f>
        <v>0</v>
      </c>
      <c r="C148" s="7">
        <f t="shared" ref="C148:E148" si="20">C149</f>
        <v>0</v>
      </c>
      <c r="D148" s="7">
        <f t="shared" si="20"/>
        <v>3700</v>
      </c>
      <c r="E148" s="7">
        <f t="shared" si="20"/>
        <v>3700</v>
      </c>
      <c r="F148" s="7">
        <f t="shared" ref="F148" si="21">+F150</f>
        <v>3700</v>
      </c>
    </row>
    <row r="149" spans="1:6" ht="12.75">
      <c r="A149" s="8" t="s">
        <v>57</v>
      </c>
      <c r="B149" s="3">
        <f>SUM(B150)</f>
        <v>0</v>
      </c>
      <c r="C149" s="3">
        <f t="shared" ref="C149:D149" si="22">SUM(C150)</f>
        <v>0</v>
      </c>
      <c r="D149" s="3">
        <f t="shared" si="22"/>
        <v>3700</v>
      </c>
      <c r="E149" s="3">
        <f t="shared" ref="E149:F149" si="23">SUM(E150)</f>
        <v>3700</v>
      </c>
      <c r="F149" s="3">
        <f t="shared" si="23"/>
        <v>3700</v>
      </c>
    </row>
    <row r="150" spans="1:6" ht="12.75">
      <c r="A150" s="9" t="s">
        <v>33</v>
      </c>
      <c r="B150" s="3"/>
      <c r="C150" s="3"/>
      <c r="D150" s="3">
        <v>3700</v>
      </c>
      <c r="E150" s="3">
        <v>3700</v>
      </c>
      <c r="F150" s="3">
        <v>3700</v>
      </c>
    </row>
    <row r="151" spans="1:6" ht="12.75">
      <c r="A151" s="6" t="s">
        <v>76</v>
      </c>
      <c r="B151" s="7">
        <f>+B152</f>
        <v>11818.57</v>
      </c>
      <c r="C151" s="7">
        <f t="shared" ref="C151:F152" si="24">+C152</f>
        <v>14300</v>
      </c>
      <c r="D151" s="7">
        <f t="shared" si="24"/>
        <v>11000</v>
      </c>
      <c r="E151" s="7">
        <f t="shared" si="24"/>
        <v>11000</v>
      </c>
      <c r="F151" s="7">
        <f t="shared" si="24"/>
        <v>11000</v>
      </c>
    </row>
    <row r="152" spans="1:6" ht="25.5">
      <c r="A152" s="8" t="s">
        <v>61</v>
      </c>
      <c r="B152" s="3">
        <f>+B153</f>
        <v>11818.57</v>
      </c>
      <c r="C152" s="3">
        <f t="shared" si="24"/>
        <v>14300</v>
      </c>
      <c r="D152" s="3">
        <f t="shared" si="24"/>
        <v>11000</v>
      </c>
      <c r="E152" s="3">
        <f t="shared" si="24"/>
        <v>11000</v>
      </c>
      <c r="F152" s="3">
        <f t="shared" si="24"/>
        <v>11000</v>
      </c>
    </row>
    <row r="153" spans="1:6" ht="12.75">
      <c r="A153" s="9" t="s">
        <v>64</v>
      </c>
      <c r="B153" s="3">
        <v>11818.57</v>
      </c>
      <c r="C153" s="3">
        <v>14300</v>
      </c>
      <c r="D153" s="3">
        <v>11000</v>
      </c>
      <c r="E153" s="3">
        <v>11000</v>
      </c>
      <c r="F153" s="3">
        <v>11000</v>
      </c>
    </row>
    <row r="154" spans="1:6" ht="12.75">
      <c r="A154" s="6" t="s">
        <v>77</v>
      </c>
      <c r="B154" s="7">
        <f>+B157+B159</f>
        <v>1365</v>
      </c>
      <c r="C154" s="7">
        <f>+C157+C159+C155</f>
        <v>1800</v>
      </c>
      <c r="D154" s="7">
        <f t="shared" ref="D154:F154" si="25">+D157+D159</f>
        <v>1800</v>
      </c>
      <c r="E154" s="7">
        <f t="shared" si="25"/>
        <v>1800</v>
      </c>
      <c r="F154" s="7">
        <f t="shared" si="25"/>
        <v>1800</v>
      </c>
    </row>
    <row r="155" spans="1:6" ht="12.75">
      <c r="A155" s="8" t="s">
        <v>57</v>
      </c>
      <c r="B155" s="3">
        <f>+B156</f>
        <v>0</v>
      </c>
      <c r="C155" s="3">
        <f t="shared" ref="C155:F157" si="26">+C156</f>
        <v>415</v>
      </c>
      <c r="D155" s="3">
        <f t="shared" si="26"/>
        <v>0</v>
      </c>
      <c r="E155" s="3">
        <v>0</v>
      </c>
      <c r="F155" s="3">
        <v>0</v>
      </c>
    </row>
    <row r="156" spans="1:6" ht="12.75">
      <c r="A156" s="9" t="s">
        <v>79</v>
      </c>
      <c r="B156" s="3"/>
      <c r="C156" s="3">
        <v>415</v>
      </c>
      <c r="D156" s="3">
        <v>0</v>
      </c>
      <c r="E156" s="3">
        <v>85</v>
      </c>
      <c r="F156" s="3">
        <v>85</v>
      </c>
    </row>
    <row r="157" spans="1:6" ht="12.75">
      <c r="A157" s="8" t="s">
        <v>78</v>
      </c>
      <c r="B157" s="3">
        <f>+B158</f>
        <v>65</v>
      </c>
      <c r="C157" s="3">
        <f t="shared" si="26"/>
        <v>85</v>
      </c>
      <c r="D157" s="3">
        <f t="shared" si="26"/>
        <v>85</v>
      </c>
      <c r="E157" s="3">
        <f t="shared" si="26"/>
        <v>85</v>
      </c>
      <c r="F157" s="3">
        <f t="shared" si="26"/>
        <v>85</v>
      </c>
    </row>
    <row r="158" spans="1:6" ht="12.75">
      <c r="A158" s="9" t="s">
        <v>79</v>
      </c>
      <c r="B158" s="3">
        <v>65</v>
      </c>
      <c r="C158" s="3">
        <v>85</v>
      </c>
      <c r="D158" s="3">
        <v>85</v>
      </c>
      <c r="E158" s="3">
        <v>85</v>
      </c>
      <c r="F158" s="3">
        <v>85</v>
      </c>
    </row>
    <row r="159" spans="1:6" ht="12.75">
      <c r="A159" s="8" t="s">
        <v>75</v>
      </c>
      <c r="B159" s="3">
        <f>+B160</f>
        <v>1300</v>
      </c>
      <c r="C159" s="3">
        <f t="shared" ref="C159:F159" si="27">+C160</f>
        <v>1300</v>
      </c>
      <c r="D159" s="3">
        <f t="shared" si="27"/>
        <v>1715</v>
      </c>
      <c r="E159" s="3">
        <f t="shared" si="27"/>
        <v>1715</v>
      </c>
      <c r="F159" s="3">
        <f t="shared" si="27"/>
        <v>1715</v>
      </c>
    </row>
    <row r="160" spans="1:6" ht="12.75">
      <c r="A160" s="9" t="s">
        <v>79</v>
      </c>
      <c r="B160" s="3">
        <v>1300</v>
      </c>
      <c r="C160" s="3">
        <v>1300</v>
      </c>
      <c r="D160" s="3">
        <v>1715</v>
      </c>
      <c r="E160" s="3">
        <v>1715</v>
      </c>
      <c r="F160" s="3">
        <v>1715</v>
      </c>
    </row>
    <row r="161" spans="1:6" ht="25.5">
      <c r="A161" s="6" t="s">
        <v>80</v>
      </c>
      <c r="B161" s="7">
        <f>+B167</f>
        <v>49499.07</v>
      </c>
      <c r="C161" s="7">
        <f>+C167+C162</f>
        <v>61315</v>
      </c>
      <c r="D161" s="7">
        <f>+D167</f>
        <v>57750</v>
      </c>
      <c r="E161" s="7">
        <f>+E167</f>
        <v>57750</v>
      </c>
      <c r="F161" s="7">
        <f>+F167</f>
        <v>57750</v>
      </c>
    </row>
    <row r="162" spans="1:6" ht="12.75">
      <c r="A162" s="8" t="s">
        <v>57</v>
      </c>
      <c r="B162" s="7"/>
      <c r="C162" s="156">
        <f>SUM(C163:C166)</f>
        <v>3565</v>
      </c>
      <c r="D162" s="7"/>
      <c r="E162" s="7"/>
      <c r="F162" s="7"/>
    </row>
    <row r="163" spans="1:6" ht="12.75">
      <c r="A163" s="9" t="s">
        <v>47</v>
      </c>
      <c r="B163" s="7"/>
      <c r="C163" s="156">
        <v>2500</v>
      </c>
      <c r="D163" s="7"/>
      <c r="E163" s="7"/>
      <c r="F163" s="7"/>
    </row>
    <row r="164" spans="1:6" ht="12.75">
      <c r="A164" s="9" t="s">
        <v>53</v>
      </c>
      <c r="B164" s="7"/>
      <c r="C164" s="156">
        <v>410</v>
      </c>
      <c r="D164" s="7"/>
      <c r="E164" s="7"/>
      <c r="F164" s="7"/>
    </row>
    <row r="165" spans="1:6" ht="12.75">
      <c r="A165" s="9" t="s">
        <v>54</v>
      </c>
      <c r="B165" s="7"/>
      <c r="C165" s="156">
        <v>100</v>
      </c>
      <c r="D165" s="7"/>
      <c r="E165" s="7"/>
      <c r="F165" s="7"/>
    </row>
    <row r="166" spans="1:6" ht="25.5">
      <c r="A166" s="9" t="s">
        <v>10</v>
      </c>
      <c r="B166" s="7"/>
      <c r="C166" s="156">
        <v>555</v>
      </c>
      <c r="D166" s="7"/>
      <c r="E166" s="7"/>
      <c r="F166" s="7"/>
    </row>
    <row r="167" spans="1:6" ht="25.5">
      <c r="A167" s="8" t="s">
        <v>61</v>
      </c>
      <c r="B167" s="3">
        <f>+B168</f>
        <v>49499.07</v>
      </c>
      <c r="C167" s="3">
        <f t="shared" ref="C167:F167" si="28">+C168</f>
        <v>57750</v>
      </c>
      <c r="D167" s="3">
        <f t="shared" si="28"/>
        <v>57750</v>
      </c>
      <c r="E167" s="3">
        <f t="shared" si="28"/>
        <v>57750</v>
      </c>
      <c r="F167" s="3">
        <f t="shared" si="28"/>
        <v>57750</v>
      </c>
    </row>
    <row r="168" spans="1:6" ht="12.75">
      <c r="A168" s="9" t="s">
        <v>79</v>
      </c>
      <c r="B168" s="3">
        <v>49499.07</v>
      </c>
      <c r="C168" s="3">
        <v>57750</v>
      </c>
      <c r="D168" s="3">
        <v>57750</v>
      </c>
      <c r="E168" s="3">
        <v>57750</v>
      </c>
      <c r="F168" s="3">
        <v>57750</v>
      </c>
    </row>
    <row r="169" spans="1:6" ht="12.75">
      <c r="A169" s="6" t="s">
        <v>81</v>
      </c>
      <c r="B169" s="7">
        <f>+B170</f>
        <v>6000</v>
      </c>
      <c r="C169" s="7">
        <f t="shared" ref="C169:F169" si="29">+C170</f>
        <v>8000</v>
      </c>
      <c r="D169" s="7">
        <f t="shared" si="29"/>
        <v>8000</v>
      </c>
      <c r="E169" s="7">
        <f t="shared" si="29"/>
        <v>8000</v>
      </c>
      <c r="F169" s="7">
        <f t="shared" si="29"/>
        <v>8000</v>
      </c>
    </row>
    <row r="170" spans="1:6" ht="12.75">
      <c r="A170" s="8" t="s">
        <v>3</v>
      </c>
      <c r="B170" s="3">
        <f>+B171+B172</f>
        <v>6000</v>
      </c>
      <c r="C170" s="3">
        <f t="shared" ref="C170:F170" si="30">+C171+C172</f>
        <v>8000</v>
      </c>
      <c r="D170" s="3">
        <f t="shared" si="30"/>
        <v>8000</v>
      </c>
      <c r="E170" s="3">
        <f t="shared" si="30"/>
        <v>8000</v>
      </c>
      <c r="F170" s="3">
        <f t="shared" si="30"/>
        <v>8000</v>
      </c>
    </row>
    <row r="171" spans="1:6" ht="12.75">
      <c r="A171" s="9" t="s">
        <v>82</v>
      </c>
      <c r="B171" s="3">
        <v>6000</v>
      </c>
      <c r="C171" s="3">
        <v>7000</v>
      </c>
      <c r="D171" s="3">
        <v>8000</v>
      </c>
      <c r="E171" s="3">
        <v>8000</v>
      </c>
      <c r="F171" s="3">
        <v>8000</v>
      </c>
    </row>
    <row r="172" spans="1:6" ht="12.75">
      <c r="A172" s="9" t="s">
        <v>64</v>
      </c>
      <c r="B172" s="99"/>
      <c r="C172" s="3">
        <v>1000</v>
      </c>
      <c r="D172" s="3"/>
      <c r="E172" s="3"/>
      <c r="F172" s="3"/>
    </row>
  </sheetData>
  <mergeCells count="2">
    <mergeCell ref="A2:F2"/>
    <mergeCell ref="A1:F1"/>
  </mergeCells>
  <pageMargins left="0.75" right="0.75" top="1" bottom="1" header="0.5" footer="0.5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N8" sqref="N8"/>
    </sheetView>
  </sheetViews>
  <sheetFormatPr defaultRowHeight="1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25.28515625" hidden="1" customWidth="1"/>
    <col min="6" max="15" width="17.7109375" customWidth="1"/>
  </cols>
  <sheetData>
    <row r="1" spans="1:15" ht="15.75">
      <c r="A1" s="117" t="str">
        <f>+[1]SAŽETAK!A1</f>
        <v>FINANCIJSKI PLAN OSNOVNE ŠKOLE ANTUNA MASLE - ORAŠAC ZA 2025. I PROJEKCIJA ZA 2026. I 2027. GODINU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ht="18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15.75">
      <c r="A3" s="117" t="s">
        <v>178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47"/>
      <c r="M3" s="147"/>
      <c r="N3" s="147"/>
    </row>
    <row r="4" spans="1:15" ht="18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5"/>
      <c r="M4" s="25"/>
      <c r="N4" s="25"/>
      <c r="O4" s="25"/>
    </row>
    <row r="5" spans="1:15" ht="15.75">
      <c r="A5" s="117" t="s">
        <v>185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ht="18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25"/>
      <c r="N6" s="25"/>
      <c r="O6" s="25"/>
    </row>
    <row r="7" spans="1:15" ht="30.75" customHeight="1">
      <c r="A7" s="63" t="s">
        <v>210</v>
      </c>
      <c r="B7" s="64" t="s">
        <v>211</v>
      </c>
      <c r="C7" s="64" t="s">
        <v>212</v>
      </c>
      <c r="D7" s="64" t="s">
        <v>179</v>
      </c>
      <c r="E7" s="64"/>
      <c r="F7" s="143" t="s">
        <v>231</v>
      </c>
      <c r="G7" s="148"/>
      <c r="H7" s="143" t="s">
        <v>169</v>
      </c>
      <c r="I7" s="148"/>
      <c r="J7" s="143" t="s">
        <v>232</v>
      </c>
      <c r="K7" s="148"/>
      <c r="L7" s="143" t="s">
        <v>189</v>
      </c>
      <c r="M7" s="144"/>
      <c r="N7" s="143" t="s">
        <v>233</v>
      </c>
      <c r="O7" s="144"/>
    </row>
    <row r="8" spans="1:15">
      <c r="A8" s="63"/>
      <c r="B8" s="64"/>
      <c r="C8" s="64"/>
      <c r="D8" s="64"/>
      <c r="E8" s="64"/>
      <c r="F8" s="64" t="s">
        <v>190</v>
      </c>
      <c r="G8" s="64" t="s">
        <v>191</v>
      </c>
      <c r="H8" s="64" t="s">
        <v>190</v>
      </c>
      <c r="I8" s="64" t="s">
        <v>191</v>
      </c>
      <c r="J8" s="64" t="s">
        <v>190</v>
      </c>
      <c r="K8" s="64" t="s">
        <v>191</v>
      </c>
      <c r="L8" s="64" t="s">
        <v>190</v>
      </c>
      <c r="M8" s="64" t="s">
        <v>191</v>
      </c>
      <c r="N8" s="64" t="s">
        <v>190</v>
      </c>
      <c r="O8" s="64" t="s">
        <v>191</v>
      </c>
    </row>
    <row r="9" spans="1:15" ht="25.5">
      <c r="A9" s="66">
        <v>8</v>
      </c>
      <c r="B9" s="66"/>
      <c r="C9" s="66"/>
      <c r="D9" s="66" t="s">
        <v>213</v>
      </c>
      <c r="E9" s="67"/>
      <c r="F9" s="74"/>
      <c r="G9" s="74"/>
      <c r="H9" s="75"/>
      <c r="I9" s="75"/>
      <c r="J9" s="75"/>
      <c r="K9" s="75"/>
      <c r="L9" s="75"/>
      <c r="M9" s="75"/>
      <c r="N9" s="75"/>
      <c r="O9" s="75"/>
    </row>
    <row r="10" spans="1:15">
      <c r="A10" s="66"/>
      <c r="B10" s="76">
        <v>84</v>
      </c>
      <c r="C10" s="76"/>
      <c r="D10" s="76" t="s">
        <v>214</v>
      </c>
      <c r="E10" s="77"/>
      <c r="F10" s="74"/>
      <c r="G10" s="74"/>
      <c r="H10" s="75"/>
      <c r="I10" s="75"/>
      <c r="J10" s="75"/>
      <c r="K10" s="75"/>
      <c r="L10" s="75"/>
      <c r="M10" s="75"/>
      <c r="N10" s="75"/>
      <c r="O10" s="75"/>
    </row>
    <row r="11" spans="1:15" ht="25.5">
      <c r="A11" s="78"/>
      <c r="B11" s="78"/>
      <c r="C11" s="79">
        <v>81</v>
      </c>
      <c r="D11" s="70" t="s">
        <v>215</v>
      </c>
      <c r="E11" s="71"/>
      <c r="F11" s="74"/>
      <c r="G11" s="74"/>
      <c r="H11" s="75"/>
      <c r="I11" s="75"/>
      <c r="J11" s="75"/>
      <c r="K11" s="75"/>
      <c r="L11" s="75"/>
      <c r="M11" s="75"/>
      <c r="N11" s="75"/>
      <c r="O11" s="75"/>
    </row>
    <row r="12" spans="1:15" ht="25.5">
      <c r="A12" s="80">
        <v>5</v>
      </c>
      <c r="B12" s="81"/>
      <c r="C12" s="81"/>
      <c r="D12" s="82" t="s">
        <v>216</v>
      </c>
      <c r="E12" s="83"/>
      <c r="F12" s="74"/>
      <c r="G12" s="74"/>
      <c r="H12" s="75"/>
      <c r="I12" s="75"/>
      <c r="J12" s="75"/>
      <c r="K12" s="75"/>
      <c r="L12" s="75"/>
      <c r="M12" s="75"/>
      <c r="N12" s="75"/>
      <c r="O12" s="75"/>
    </row>
    <row r="13" spans="1:15" ht="25.5">
      <c r="A13" s="76"/>
      <c r="B13" s="76">
        <v>54</v>
      </c>
      <c r="C13" s="76"/>
      <c r="D13" s="84" t="s">
        <v>217</v>
      </c>
      <c r="E13" s="85"/>
      <c r="F13" s="74"/>
      <c r="G13" s="74"/>
      <c r="H13" s="75"/>
      <c r="I13" s="75"/>
      <c r="J13" s="75"/>
      <c r="K13" s="75"/>
      <c r="L13" s="75"/>
      <c r="M13" s="75"/>
      <c r="N13" s="86"/>
      <c r="O13" s="75"/>
    </row>
    <row r="14" spans="1:15">
      <c r="A14" s="76"/>
      <c r="B14" s="76"/>
      <c r="C14" s="79">
        <v>11</v>
      </c>
      <c r="D14" s="79" t="s">
        <v>218</v>
      </c>
      <c r="E14" s="87"/>
      <c r="F14" s="74"/>
      <c r="G14" s="74"/>
      <c r="H14" s="75"/>
      <c r="I14" s="75"/>
      <c r="J14" s="75"/>
      <c r="K14" s="75"/>
      <c r="L14" s="75"/>
      <c r="M14" s="75"/>
      <c r="N14" s="86"/>
      <c r="O14" s="75"/>
    </row>
    <row r="15" spans="1:15">
      <c r="A15" s="76"/>
      <c r="B15" s="76"/>
      <c r="C15" s="79">
        <v>31</v>
      </c>
      <c r="D15" s="79" t="s">
        <v>219</v>
      </c>
      <c r="E15" s="87"/>
      <c r="F15" s="74"/>
      <c r="G15" s="74"/>
      <c r="H15" s="75"/>
      <c r="I15" s="75"/>
      <c r="J15" s="75"/>
      <c r="K15" s="75"/>
      <c r="L15" s="75"/>
      <c r="M15" s="75"/>
      <c r="N15" s="86"/>
      <c r="O15" s="75"/>
    </row>
    <row r="25" spans="6:15"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</sheetData>
  <mergeCells count="13">
    <mergeCell ref="A1:N1"/>
    <mergeCell ref="A3:N3"/>
    <mergeCell ref="A5:N5"/>
    <mergeCell ref="F7:G7"/>
    <mergeCell ref="H7:I7"/>
    <mergeCell ref="J7:K7"/>
    <mergeCell ref="L7:M7"/>
    <mergeCell ref="N7:O7"/>
    <mergeCell ref="F25:G25"/>
    <mergeCell ref="H25:I25"/>
    <mergeCell ref="J25:K25"/>
    <mergeCell ref="L25:M25"/>
    <mergeCell ref="N25:O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F8" sqref="F8"/>
    </sheetView>
  </sheetViews>
  <sheetFormatPr defaultRowHeight="15"/>
  <cols>
    <col min="1" max="6" width="25.28515625" customWidth="1"/>
  </cols>
  <sheetData>
    <row r="1" spans="1:6" ht="15.75">
      <c r="A1" s="117" t="s">
        <v>220</v>
      </c>
      <c r="B1" s="117"/>
      <c r="C1" s="117"/>
      <c r="D1" s="117"/>
      <c r="E1" s="117"/>
      <c r="F1" s="117"/>
    </row>
    <row r="2" spans="1:6" ht="18">
      <c r="A2" s="24"/>
      <c r="B2" s="24"/>
      <c r="C2" s="24"/>
      <c r="D2" s="24"/>
      <c r="E2" s="24"/>
      <c r="F2" s="24"/>
    </row>
    <row r="3" spans="1:6" ht="15.75">
      <c r="A3" s="117" t="s">
        <v>178</v>
      </c>
      <c r="B3" s="117"/>
      <c r="C3" s="117"/>
      <c r="D3" s="117"/>
      <c r="E3" s="117"/>
      <c r="F3" s="117"/>
    </row>
    <row r="4" spans="1:6" ht="18">
      <c r="A4" s="24"/>
      <c r="B4" s="24"/>
      <c r="C4" s="24"/>
      <c r="D4" s="24"/>
      <c r="E4" s="25"/>
      <c r="F4" s="25"/>
    </row>
    <row r="5" spans="1:6" ht="15.75">
      <c r="A5" s="117" t="s">
        <v>221</v>
      </c>
      <c r="B5" s="117"/>
      <c r="C5" s="117"/>
      <c r="D5" s="117"/>
      <c r="E5" s="117"/>
      <c r="F5" s="117"/>
    </row>
    <row r="6" spans="1:6" ht="18">
      <c r="A6" s="24"/>
      <c r="B6" s="24"/>
      <c r="C6" s="24"/>
      <c r="D6" s="24"/>
      <c r="E6" s="25"/>
      <c r="F6" s="25"/>
    </row>
    <row r="7" spans="1:6" ht="25.5">
      <c r="A7" s="64" t="s">
        <v>222</v>
      </c>
      <c r="B7" s="64" t="s">
        <v>231</v>
      </c>
      <c r="C7" s="63" t="s">
        <v>169</v>
      </c>
      <c r="D7" s="63" t="s">
        <v>232</v>
      </c>
      <c r="E7" s="63" t="s">
        <v>189</v>
      </c>
      <c r="F7" s="63" t="s">
        <v>233</v>
      </c>
    </row>
    <row r="8" spans="1:6">
      <c r="A8" s="66" t="s">
        <v>223</v>
      </c>
      <c r="B8" s="74"/>
      <c r="C8" s="75"/>
      <c r="D8" s="75"/>
      <c r="E8" s="75"/>
      <c r="F8" s="75"/>
    </row>
    <row r="9" spans="1:6" ht="25.5">
      <c r="A9" s="66" t="s">
        <v>224</v>
      </c>
      <c r="B9" s="74"/>
      <c r="C9" s="75"/>
      <c r="D9" s="75"/>
      <c r="E9" s="75"/>
      <c r="F9" s="75"/>
    </row>
    <row r="10" spans="1:6" ht="25.5">
      <c r="A10" s="70" t="s">
        <v>225</v>
      </c>
      <c r="B10" s="74"/>
      <c r="C10" s="75"/>
      <c r="D10" s="75"/>
      <c r="E10" s="75"/>
      <c r="F10" s="75"/>
    </row>
    <row r="11" spans="1:6">
      <c r="A11" s="70"/>
      <c r="B11" s="74"/>
      <c r="C11" s="75"/>
      <c r="D11" s="75"/>
      <c r="E11" s="75"/>
      <c r="F11" s="75"/>
    </row>
    <row r="12" spans="1:6">
      <c r="A12" s="66" t="s">
        <v>226</v>
      </c>
      <c r="B12" s="74"/>
      <c r="C12" s="75"/>
      <c r="D12" s="75"/>
      <c r="E12" s="75"/>
      <c r="F12" s="75"/>
    </row>
    <row r="13" spans="1:6">
      <c r="A13" s="82" t="s">
        <v>227</v>
      </c>
      <c r="B13" s="74"/>
      <c r="C13" s="75"/>
      <c r="D13" s="75"/>
      <c r="E13" s="75"/>
      <c r="F13" s="75"/>
    </row>
    <row r="14" spans="1:6">
      <c r="A14" s="79" t="s">
        <v>228</v>
      </c>
      <c r="B14" s="74"/>
      <c r="C14" s="75"/>
      <c r="D14" s="75"/>
      <c r="E14" s="75"/>
      <c r="F14" s="86"/>
    </row>
    <row r="15" spans="1:6">
      <c r="A15" s="82" t="s">
        <v>229</v>
      </c>
      <c r="B15" s="74"/>
      <c r="C15" s="75"/>
      <c r="D15" s="75"/>
      <c r="E15" s="75"/>
      <c r="F15" s="86"/>
    </row>
    <row r="16" spans="1:6">
      <c r="A16" s="79" t="s">
        <v>230</v>
      </c>
      <c r="B16" s="74"/>
      <c r="C16" s="75"/>
      <c r="D16" s="75"/>
      <c r="E16" s="75"/>
      <c r="F16" s="86"/>
    </row>
  </sheetData>
  <mergeCells count="3">
    <mergeCell ref="A1:F1"/>
    <mergeCell ref="A3:F3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PRIHODI I RASHODI PO IZVORIMA</vt:lpstr>
      <vt:lpstr>RASHODI PREMA FUNKCIJSKOJ KLAS.</vt:lpstr>
      <vt:lpstr>POSEBNI DIO - PROJEKTI</vt:lpstr>
      <vt:lpstr>RAČUN FINANCIRANJA</vt:lpstr>
      <vt:lpstr>RAČUN FINANC. PREMA IZVORIMA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</dc:title>
  <dc:creator>korisnik</dc:creator>
  <cp:lastModifiedBy>korisnik</cp:lastModifiedBy>
  <cp:lastPrinted>2025-07-10T13:41:11Z</cp:lastPrinted>
  <dcterms:created xsi:type="dcterms:W3CDTF">2025-07-09T09:34:44Z</dcterms:created>
  <dcterms:modified xsi:type="dcterms:W3CDTF">2026-01-14T11:27:19Z</dcterms:modified>
</cp:coreProperties>
</file>