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120" windowHeight="11025" tabRatio="608" firstSheet="1" activeTab="1"/>
  </bookViews>
  <sheets>
    <sheet name="Naslovnica" sheetId="8" r:id="rId1"/>
    <sheet name="SAŽETAK" sheetId="1" r:id="rId2"/>
    <sheet name=" Račun prihoda i rashoda" sheetId="3" r:id="rId3"/>
    <sheet name="Prihodi i rashodi po izvorima" sheetId="9" r:id="rId4"/>
    <sheet name="Rashodi prema funkcijskoj kl" sheetId="5" r:id="rId5"/>
    <sheet name="POSEBNI DIO" sheetId="7" r:id="rId6"/>
    <sheet name="Račun financiranja" sheetId="6" r:id="rId7"/>
    <sheet name="Račun financiranja po izvorima" sheetId="10" r:id="rId8"/>
  </sheets>
  <definedNames>
    <definedName name="_xlnm._FilterDatabase" localSheetId="2" hidden="1">' Račun prihoda i rashoda'!$A$42:$D$92</definedName>
    <definedName name="_xlnm._FilterDatabase" localSheetId="5" hidden="1">'POSEBNI DIO'!$A$5:$D$101</definedName>
    <definedName name="_xlnm.Print_Area" localSheetId="0">Naslovnica!$A$2:$H$7</definedName>
    <definedName name="_xlnm.Print_Area" localSheetId="5">'POSEBNI DIO'!$A$1:$O$101</definedName>
    <definedName name="_xlnm.Print_Titles" localSheetId="5">'POSEBNI DIO'!$1:$6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5" l="1"/>
  <c r="M13" i="5"/>
  <c r="K13" i="5"/>
  <c r="O91" i="7"/>
  <c r="M91" i="7"/>
  <c r="M90" i="7"/>
  <c r="K70" i="7"/>
  <c r="K46" i="7"/>
  <c r="K40" i="7"/>
  <c r="K16" i="7"/>
  <c r="K11" i="7"/>
  <c r="K59" i="3"/>
  <c r="K55" i="3"/>
  <c r="K53" i="3"/>
  <c r="K49" i="3"/>
  <c r="K48" i="3"/>
  <c r="K44" i="3"/>
  <c r="K47" i="3"/>
  <c r="K14" i="3"/>
  <c r="J30" i="7"/>
  <c r="K30" i="7"/>
  <c r="I30" i="7"/>
  <c r="I23" i="7"/>
  <c r="I46" i="7"/>
  <c r="G26" i="7"/>
  <c r="H26" i="7"/>
  <c r="J26" i="7"/>
  <c r="K26" i="7"/>
  <c r="L26" i="7"/>
  <c r="M26" i="7"/>
  <c r="N26" i="7"/>
  <c r="O26" i="7"/>
  <c r="I26" i="7"/>
  <c r="N27" i="7"/>
  <c r="L27" i="7"/>
  <c r="J27" i="7"/>
  <c r="G27" i="7"/>
  <c r="I52" i="7"/>
  <c r="H104" i="7"/>
  <c r="I104" i="7"/>
  <c r="J104" i="7"/>
  <c r="K104" i="7"/>
  <c r="L104" i="7"/>
  <c r="M104" i="7"/>
  <c r="N104" i="7"/>
  <c r="O104" i="7"/>
  <c r="G104" i="7"/>
  <c r="I70" i="7"/>
  <c r="H64" i="7"/>
  <c r="O60" i="7"/>
  <c r="N60" i="7"/>
  <c r="M60" i="7"/>
  <c r="L60" i="7"/>
  <c r="K60" i="7"/>
  <c r="J60" i="7"/>
  <c r="I60" i="7"/>
  <c r="H60" i="7"/>
  <c r="G60" i="7"/>
  <c r="F60" i="7"/>
  <c r="I40" i="7"/>
  <c r="I31" i="7"/>
  <c r="I32" i="7"/>
  <c r="I24" i="7"/>
  <c r="I17" i="7"/>
  <c r="I16" i="7"/>
  <c r="I12" i="7"/>
  <c r="I11" i="7"/>
  <c r="I13" i="5"/>
  <c r="E27" i="9"/>
  <c r="E31" i="9"/>
  <c r="E11" i="9" l="1"/>
  <c r="I49" i="3"/>
  <c r="I72" i="3"/>
  <c r="I64" i="3"/>
  <c r="I61" i="3"/>
  <c r="I59" i="3"/>
  <c r="I58" i="3"/>
  <c r="I53" i="3"/>
  <c r="I55" i="3"/>
  <c r="I48" i="3"/>
  <c r="I47" i="3"/>
  <c r="I44" i="3"/>
  <c r="I23" i="3"/>
  <c r="I14" i="3"/>
  <c r="G70" i="7"/>
  <c r="F84" i="7"/>
  <c r="G74" i="7"/>
  <c r="G65" i="7"/>
  <c r="G46" i="7"/>
  <c r="G45" i="7"/>
  <c r="G40" i="7"/>
  <c r="G32" i="7"/>
  <c r="G31" i="7"/>
  <c r="G24" i="7"/>
  <c r="G16" i="7"/>
  <c r="G17" i="7"/>
  <c r="G12" i="7"/>
  <c r="G11" i="7"/>
  <c r="F12" i="3"/>
  <c r="F15" i="3"/>
  <c r="F17" i="3"/>
  <c r="F20" i="3"/>
  <c r="F23" i="3"/>
  <c r="F32" i="3"/>
  <c r="F31" i="3" s="1"/>
  <c r="F29" i="3" s="1"/>
  <c r="F34" i="3"/>
  <c r="F35" i="3"/>
  <c r="F44" i="3"/>
  <c r="F47" i="3"/>
  <c r="F48" i="3"/>
  <c r="F49" i="3"/>
  <c r="F53" i="3"/>
  <c r="F55" i="3"/>
  <c r="F56" i="3"/>
  <c r="F57" i="3"/>
  <c r="F58" i="3"/>
  <c r="F59" i="3"/>
  <c r="F64" i="3"/>
  <c r="F67" i="3"/>
  <c r="F72" i="3"/>
  <c r="F77" i="3"/>
  <c r="F82" i="3"/>
  <c r="F81" i="3" s="1"/>
  <c r="F86" i="3"/>
  <c r="F90" i="3"/>
  <c r="F91" i="3"/>
  <c r="F92" i="3"/>
  <c r="G61" i="3"/>
  <c r="G71" i="3"/>
  <c r="G86" i="3"/>
  <c r="G59" i="3"/>
  <c r="G58" i="3"/>
  <c r="G57" i="3"/>
  <c r="G55" i="3"/>
  <c r="G53" i="3"/>
  <c r="G49" i="3"/>
  <c r="G48" i="3"/>
  <c r="G47" i="3"/>
  <c r="G44" i="3"/>
  <c r="G23" i="3"/>
  <c r="F84" i="3" l="1"/>
  <c r="F83" i="3" s="1"/>
  <c r="F62" i="3"/>
  <c r="F52" i="3"/>
  <c r="F71" i="3"/>
  <c r="F43" i="3"/>
  <c r="F11" i="3"/>
  <c r="M28" i="3"/>
  <c r="M26" i="3"/>
  <c r="M24" i="7"/>
  <c r="M11" i="7"/>
  <c r="F42" i="3" l="1"/>
  <c r="C21" i="9"/>
  <c r="A1" i="9"/>
  <c r="H43" i="1"/>
  <c r="I43" i="1"/>
  <c r="G43" i="1"/>
  <c r="K64" i="3" l="1"/>
  <c r="H30" i="7"/>
  <c r="F30" i="7"/>
  <c r="O24" i="7"/>
  <c r="M23" i="7"/>
  <c r="O23" i="7" s="1"/>
  <c r="J90" i="7"/>
  <c r="J89" i="7" s="1"/>
  <c r="K90" i="7"/>
  <c r="L90" i="7"/>
  <c r="L89" i="7" s="1"/>
  <c r="M89" i="7"/>
  <c r="N90" i="7"/>
  <c r="O90" i="7"/>
  <c r="O89" i="7" s="1"/>
  <c r="K89" i="7"/>
  <c r="N89" i="7"/>
  <c r="M33" i="7"/>
  <c r="O33" i="7" s="1"/>
  <c r="M34" i="7"/>
  <c r="O34" i="7" s="1"/>
  <c r="J15" i="7" l="1"/>
  <c r="O88" i="7"/>
  <c r="N88" i="7"/>
  <c r="G90" i="7"/>
  <c r="G89" i="7" s="1"/>
  <c r="G88" i="7" s="1"/>
  <c r="J88" i="7"/>
  <c r="I90" i="7"/>
  <c r="I89" i="7" s="1"/>
  <c r="I88" i="7" s="1"/>
  <c r="F90" i="7"/>
  <c r="F89" i="7" s="1"/>
  <c r="F88" i="7" s="1"/>
  <c r="K88" i="7"/>
  <c r="H89" i="7"/>
  <c r="H88" i="7" s="1"/>
  <c r="O82" i="3"/>
  <c r="O81" i="3" s="1"/>
  <c r="N82" i="3"/>
  <c r="N81" i="3" s="1"/>
  <c r="M82" i="3"/>
  <c r="M81" i="3" s="1"/>
  <c r="L82" i="3"/>
  <c r="L81" i="3" s="1"/>
  <c r="K82" i="3"/>
  <c r="K81" i="3" s="1"/>
  <c r="J82" i="3"/>
  <c r="J81" i="3" s="1"/>
  <c r="G81" i="3"/>
  <c r="H82" i="3"/>
  <c r="H81" i="3" s="1"/>
  <c r="I81" i="3"/>
  <c r="L88" i="7" l="1"/>
  <c r="M88" i="7"/>
  <c r="C30" i="9" l="1"/>
  <c r="C27" i="9" s="1"/>
  <c r="D27" i="9"/>
  <c r="F27" i="9"/>
  <c r="G27" i="9"/>
  <c r="H27" i="9"/>
  <c r="I27" i="9"/>
  <c r="J27" i="9"/>
  <c r="K27" i="9"/>
  <c r="B27" i="9"/>
  <c r="D11" i="9"/>
  <c r="F11" i="9"/>
  <c r="G11" i="9"/>
  <c r="H11" i="9"/>
  <c r="I11" i="9"/>
  <c r="J11" i="9"/>
  <c r="K11" i="9"/>
  <c r="B11" i="9"/>
  <c r="C11" i="9" l="1"/>
  <c r="F103" i="7"/>
  <c r="F44" i="7"/>
  <c r="I57" i="7" l="1"/>
  <c r="I56" i="7" s="1"/>
  <c r="I55" i="7" s="1"/>
  <c r="O57" i="7"/>
  <c r="O56" i="7" s="1"/>
  <c r="O55" i="7" s="1"/>
  <c r="N57" i="7"/>
  <c r="N56" i="7" s="1"/>
  <c r="N55" i="7" s="1"/>
  <c r="G57" i="7"/>
  <c r="G56" i="7" s="1"/>
  <c r="G55" i="7" s="1"/>
  <c r="L57" i="7"/>
  <c r="L56" i="7" s="1"/>
  <c r="L55" i="7" s="1"/>
  <c r="K57" i="7"/>
  <c r="K56" i="7" s="1"/>
  <c r="K55" i="7" s="1"/>
  <c r="J57" i="7"/>
  <c r="J56" i="7" s="1"/>
  <c r="J55" i="7" s="1"/>
  <c r="H57" i="7"/>
  <c r="H56" i="7" s="1"/>
  <c r="H55" i="7" s="1"/>
  <c r="F57" i="7"/>
  <c r="F56" i="7" s="1"/>
  <c r="F55" i="7" s="1"/>
  <c r="H53" i="3" l="1"/>
  <c r="M57" i="7"/>
  <c r="M56" i="7" s="1"/>
  <c r="M55" i="7" s="1"/>
  <c r="L28" i="3" l="1"/>
  <c r="N28" i="3" s="1"/>
  <c r="L30" i="3"/>
  <c r="N30" i="3" s="1"/>
  <c r="L26" i="3"/>
  <c r="N26" i="3" s="1"/>
  <c r="L24" i="3"/>
  <c r="N24" i="3" s="1"/>
  <c r="L18" i="3"/>
  <c r="N18" i="3" s="1"/>
  <c r="L14" i="3"/>
  <c r="N14" i="3" s="1"/>
  <c r="L13" i="3"/>
  <c r="N13" i="3" s="1"/>
  <c r="N79" i="7"/>
  <c r="L79" i="7"/>
  <c r="L96" i="7"/>
  <c r="N96" i="7" s="1"/>
  <c r="N87" i="7"/>
  <c r="L87" i="7"/>
  <c r="N74" i="7"/>
  <c r="L75" i="7"/>
  <c r="N75" i="7" s="1"/>
  <c r="L74" i="7"/>
  <c r="L70" i="7"/>
  <c r="N70" i="7" s="1"/>
  <c r="N65" i="7"/>
  <c r="L65" i="7"/>
  <c r="N45" i="7"/>
  <c r="L49" i="7"/>
  <c r="N49" i="7" s="1"/>
  <c r="L46" i="7"/>
  <c r="N46" i="7" s="1"/>
  <c r="L45" i="7"/>
  <c r="L41" i="7"/>
  <c r="N41" i="7" s="1"/>
  <c r="L40" i="7"/>
  <c r="N40" i="7" s="1"/>
  <c r="L32" i="7"/>
  <c r="N32" i="7" s="1"/>
  <c r="L17" i="7"/>
  <c r="N17" i="7" s="1"/>
  <c r="L16" i="7"/>
  <c r="N16" i="7" s="1"/>
  <c r="L12" i="7"/>
  <c r="N12" i="7" s="1"/>
  <c r="L11" i="7"/>
  <c r="N11" i="7" s="1"/>
  <c r="N10" i="7" s="1"/>
  <c r="M12" i="7"/>
  <c r="O12" i="7" s="1"/>
  <c r="M30" i="3"/>
  <c r="O30" i="3" s="1"/>
  <c r="O28" i="3"/>
  <c r="O26" i="3"/>
  <c r="M24" i="3"/>
  <c r="O24" i="3" s="1"/>
  <c r="M18" i="3"/>
  <c r="O18" i="3" s="1"/>
  <c r="M14" i="3"/>
  <c r="O14" i="3" s="1"/>
  <c r="M13" i="3"/>
  <c r="O13" i="3" s="1"/>
  <c r="M96" i="7"/>
  <c r="O96" i="7" s="1"/>
  <c r="M87" i="7"/>
  <c r="O87" i="7" s="1"/>
  <c r="M79" i="7"/>
  <c r="O79" i="7" s="1"/>
  <c r="M75" i="7"/>
  <c r="O75" i="7" s="1"/>
  <c r="M74" i="7"/>
  <c r="O74" i="7" s="1"/>
  <c r="M70" i="7"/>
  <c r="O70" i="7" s="1"/>
  <c r="M65" i="7"/>
  <c r="O65" i="7" s="1"/>
  <c r="K49" i="7"/>
  <c r="M49" i="7" s="1"/>
  <c r="O49" i="7" s="1"/>
  <c r="M46" i="7"/>
  <c r="O46" i="7" s="1"/>
  <c r="M40" i="7"/>
  <c r="O40" i="7" s="1"/>
  <c r="M32" i="7"/>
  <c r="L30" i="7" l="1"/>
  <c r="M30" i="7"/>
  <c r="O32" i="7"/>
  <c r="M59" i="3"/>
  <c r="O11" i="7"/>
  <c r="O10" i="7" s="1"/>
  <c r="M55" i="3"/>
  <c r="L64" i="3"/>
  <c r="N44" i="7"/>
  <c r="M45" i="7"/>
  <c r="M44" i="7" s="1"/>
  <c r="K44" i="7"/>
  <c r="M41" i="7"/>
  <c r="M10" i="7"/>
  <c r="K10" i="7"/>
  <c r="N30" i="7" l="1"/>
  <c r="O30" i="7"/>
  <c r="O59" i="3"/>
  <c r="O45" i="7"/>
  <c r="O44" i="7" s="1"/>
  <c r="O41" i="7"/>
  <c r="O53" i="3" s="1"/>
  <c r="M53" i="3"/>
  <c r="M17" i="7"/>
  <c r="O17" i="7" s="1"/>
  <c r="M16" i="7"/>
  <c r="O16" i="7" s="1"/>
  <c r="H77" i="3" l="1"/>
  <c r="I77" i="3" s="1"/>
  <c r="I101" i="7"/>
  <c r="L47" i="7" l="1"/>
  <c r="L44" i="7" s="1"/>
  <c r="J44" i="7"/>
  <c r="H92" i="3"/>
  <c r="M92" i="3"/>
  <c r="O92" i="3"/>
  <c r="H99" i="7" l="1"/>
  <c r="H98" i="7" s="1"/>
  <c r="H97" i="7" s="1"/>
  <c r="K100" i="7"/>
  <c r="K99" i="7" s="1"/>
  <c r="K98" i="7" s="1"/>
  <c r="K97" i="7" s="1"/>
  <c r="M100" i="7"/>
  <c r="M99" i="7" s="1"/>
  <c r="M98" i="7" s="1"/>
  <c r="M97" i="7" s="1"/>
  <c r="O100" i="7"/>
  <c r="O99" i="7" s="1"/>
  <c r="O98" i="7" s="1"/>
  <c r="O97" i="7" s="1"/>
  <c r="H94" i="7"/>
  <c r="H93" i="7" s="1"/>
  <c r="H92" i="7" s="1"/>
  <c r="K95" i="7"/>
  <c r="K94" i="7" s="1"/>
  <c r="K93" i="7" s="1"/>
  <c r="K92" i="7" s="1"/>
  <c r="M95" i="7"/>
  <c r="M94" i="7" s="1"/>
  <c r="M93" i="7" s="1"/>
  <c r="M92" i="7" s="1"/>
  <c r="O95" i="7"/>
  <c r="O94" i="7" s="1"/>
  <c r="O93" i="7" s="1"/>
  <c r="O92" i="7" s="1"/>
  <c r="H85" i="7"/>
  <c r="H84" i="7" s="1"/>
  <c r="K86" i="7"/>
  <c r="K85" i="7" s="1"/>
  <c r="M86" i="7"/>
  <c r="M85" i="7" s="1"/>
  <c r="O86" i="7"/>
  <c r="O85" i="7" s="1"/>
  <c r="H82" i="7"/>
  <c r="H81" i="7" s="1"/>
  <c r="K82" i="7"/>
  <c r="K81" i="7" s="1"/>
  <c r="M82" i="7"/>
  <c r="M81" i="7" s="1"/>
  <c r="O82" i="7"/>
  <c r="O81" i="7" s="1"/>
  <c r="H77" i="7"/>
  <c r="H76" i="7" s="1"/>
  <c r="K78" i="7"/>
  <c r="K77" i="7" s="1"/>
  <c r="K76" i="7" s="1"/>
  <c r="M78" i="7"/>
  <c r="M77" i="7" s="1"/>
  <c r="M76" i="7" s="1"/>
  <c r="O78" i="7"/>
  <c r="O77" i="7" s="1"/>
  <c r="O76" i="7" s="1"/>
  <c r="H72" i="7"/>
  <c r="K73" i="7"/>
  <c r="K72" i="7" s="1"/>
  <c r="M73" i="7"/>
  <c r="M72" i="7" s="1"/>
  <c r="O73" i="7"/>
  <c r="O72" i="7" s="1"/>
  <c r="H68" i="7"/>
  <c r="K69" i="7"/>
  <c r="K68" i="7" s="1"/>
  <c r="M69" i="7"/>
  <c r="M68" i="7" s="1"/>
  <c r="O69" i="7"/>
  <c r="O68" i="7" s="1"/>
  <c r="H63" i="7"/>
  <c r="H62" i="7" s="1"/>
  <c r="K64" i="7"/>
  <c r="K63" i="7" s="1"/>
  <c r="K62" i="7" s="1"/>
  <c r="M64" i="7"/>
  <c r="M63" i="7" s="1"/>
  <c r="M62" i="7" s="1"/>
  <c r="O64" i="7"/>
  <c r="O63" i="7" s="1"/>
  <c r="O62" i="7" s="1"/>
  <c r="H53" i="7"/>
  <c r="K53" i="7"/>
  <c r="M53" i="7"/>
  <c r="O53" i="7"/>
  <c r="H51" i="7"/>
  <c r="H50" i="7" s="1"/>
  <c r="K51" i="7"/>
  <c r="K50" i="7" s="1"/>
  <c r="M51" i="7"/>
  <c r="O51" i="7"/>
  <c r="O50" i="7" s="1"/>
  <c r="H43" i="7"/>
  <c r="K48" i="7"/>
  <c r="M48" i="7"/>
  <c r="O48" i="7"/>
  <c r="O43" i="7" s="1"/>
  <c r="F48" i="7"/>
  <c r="H38" i="7"/>
  <c r="K39" i="7"/>
  <c r="K38" i="7" s="1"/>
  <c r="M39" i="7"/>
  <c r="M38" i="7" s="1"/>
  <c r="O39" i="7"/>
  <c r="O38" i="7" s="1"/>
  <c r="K35" i="7"/>
  <c r="M35" i="7"/>
  <c r="O35" i="7"/>
  <c r="H29" i="7"/>
  <c r="H109" i="7" s="1"/>
  <c r="H25" i="7"/>
  <c r="M25" i="7"/>
  <c r="O25" i="7"/>
  <c r="H21" i="7"/>
  <c r="M22" i="7"/>
  <c r="H14" i="7"/>
  <c r="H13" i="7" s="1"/>
  <c r="M15" i="7"/>
  <c r="M14" i="7" s="1"/>
  <c r="M13" i="7" s="1"/>
  <c r="O15" i="7"/>
  <c r="O14" i="7" s="1"/>
  <c r="O13" i="7" s="1"/>
  <c r="H9" i="7"/>
  <c r="H8" i="7" s="1"/>
  <c r="K9" i="7"/>
  <c r="M9" i="7"/>
  <c r="M8" i="7" s="1"/>
  <c r="O9" i="7"/>
  <c r="O8" i="7" s="1"/>
  <c r="G82" i="7"/>
  <c r="G81" i="7" s="1"/>
  <c r="G78" i="7"/>
  <c r="G77" i="7" s="1"/>
  <c r="G76" i="7" s="1"/>
  <c r="G54" i="7"/>
  <c r="G51" i="7"/>
  <c r="G48" i="7"/>
  <c r="G42" i="7"/>
  <c r="G35" i="7"/>
  <c r="G33" i="7"/>
  <c r="G30" i="7" s="1"/>
  <c r="G29" i="7" s="1"/>
  <c r="O91" i="3"/>
  <c r="M91" i="3"/>
  <c r="K91" i="3"/>
  <c r="H91" i="3"/>
  <c r="O86" i="3"/>
  <c r="M86" i="3"/>
  <c r="H86" i="3"/>
  <c r="O77" i="3"/>
  <c r="M77" i="3"/>
  <c r="O72" i="3"/>
  <c r="M72" i="3"/>
  <c r="H72" i="3"/>
  <c r="H71" i="3" s="1"/>
  <c r="O67" i="3"/>
  <c r="M67" i="3"/>
  <c r="H67" i="3"/>
  <c r="O64" i="3"/>
  <c r="M64" i="3"/>
  <c r="H64" i="3"/>
  <c r="H59" i="3"/>
  <c r="O58" i="3"/>
  <c r="M58" i="3"/>
  <c r="H58" i="3"/>
  <c r="O57" i="3"/>
  <c r="M57" i="3"/>
  <c r="H57" i="3"/>
  <c r="O56" i="3"/>
  <c r="M56" i="3"/>
  <c r="H56" i="3"/>
  <c r="O55" i="3"/>
  <c r="H55" i="3"/>
  <c r="O49" i="3"/>
  <c r="M49" i="3"/>
  <c r="H49" i="3"/>
  <c r="O48" i="3"/>
  <c r="M48" i="3"/>
  <c r="H48" i="3"/>
  <c r="O47" i="3"/>
  <c r="M47" i="3"/>
  <c r="H47" i="3"/>
  <c r="O44" i="3"/>
  <c r="M44" i="3"/>
  <c r="H44" i="3"/>
  <c r="H20" i="3"/>
  <c r="K20" i="3"/>
  <c r="M20" i="3"/>
  <c r="O20" i="3"/>
  <c r="N22" i="3"/>
  <c r="L22" i="3"/>
  <c r="J22" i="3"/>
  <c r="I22" i="3"/>
  <c r="G22" i="3"/>
  <c r="G19" i="3"/>
  <c r="I19" i="3"/>
  <c r="J19" i="3"/>
  <c r="L19" i="3"/>
  <c r="N19" i="3"/>
  <c r="H17" i="3"/>
  <c r="K17" i="3"/>
  <c r="M17" i="3"/>
  <c r="O17" i="3"/>
  <c r="G86" i="7"/>
  <c r="G85" i="7" s="1"/>
  <c r="G80" i="7" s="1"/>
  <c r="J71" i="7"/>
  <c r="L71" i="7"/>
  <c r="N71" i="7"/>
  <c r="F69" i="7"/>
  <c r="F51" i="7"/>
  <c r="N54" i="7"/>
  <c r="N53" i="7" s="1"/>
  <c r="L54" i="7"/>
  <c r="L53" i="7" s="1"/>
  <c r="J54" i="7"/>
  <c r="J53" i="7" s="1"/>
  <c r="I54" i="7"/>
  <c r="I53" i="7" s="1"/>
  <c r="N52" i="7"/>
  <c r="N51" i="7" s="1"/>
  <c r="L52" i="7"/>
  <c r="L51" i="7" s="1"/>
  <c r="J52" i="7"/>
  <c r="J51" i="7" s="1"/>
  <c r="I51" i="7"/>
  <c r="G28" i="7"/>
  <c r="M21" i="7" l="1"/>
  <c r="M103" i="7" s="1"/>
  <c r="O22" i="7"/>
  <c r="O21" i="7" s="1"/>
  <c r="O103" i="7" s="1"/>
  <c r="L50" i="7"/>
  <c r="H103" i="7"/>
  <c r="G44" i="7"/>
  <c r="G43" i="7" s="1"/>
  <c r="O62" i="3"/>
  <c r="K8" i="7"/>
  <c r="K105" i="7"/>
  <c r="K43" i="7"/>
  <c r="J50" i="7"/>
  <c r="G92" i="3"/>
  <c r="G95" i="7"/>
  <c r="G94" i="7" s="1"/>
  <c r="G93" i="7" s="1"/>
  <c r="G92" i="7" s="1"/>
  <c r="G69" i="7"/>
  <c r="G68" i="7" s="1"/>
  <c r="N50" i="7"/>
  <c r="G39" i="7"/>
  <c r="G38" i="7" s="1"/>
  <c r="G64" i="7"/>
  <c r="G63" i="7" s="1"/>
  <c r="G62" i="7" s="1"/>
  <c r="G53" i="7"/>
  <c r="G50" i="7" s="1"/>
  <c r="G73" i="7"/>
  <c r="G72" i="7" s="1"/>
  <c r="G22" i="7"/>
  <c r="G21" i="7" s="1"/>
  <c r="G15" i="7"/>
  <c r="G14" i="7" s="1"/>
  <c r="G13" i="7" s="1"/>
  <c r="M71" i="3"/>
  <c r="G62" i="3"/>
  <c r="O71" i="3"/>
  <c r="M80" i="7"/>
  <c r="H80" i="7"/>
  <c r="O80" i="7"/>
  <c r="K80" i="7"/>
  <c r="H67" i="7"/>
  <c r="M67" i="7"/>
  <c r="O67" i="7"/>
  <c r="K67" i="7"/>
  <c r="M50" i="7"/>
  <c r="I50" i="7"/>
  <c r="M43" i="7"/>
  <c r="H37" i="7"/>
  <c r="O37" i="7"/>
  <c r="O29" i="7"/>
  <c r="O20" i="7" s="1"/>
  <c r="M29" i="7"/>
  <c r="H20" i="7"/>
  <c r="O7" i="7"/>
  <c r="H7" i="7"/>
  <c r="M7" i="7"/>
  <c r="O52" i="3"/>
  <c r="H43" i="3"/>
  <c r="M62" i="3"/>
  <c r="K43" i="3"/>
  <c r="O43" i="3"/>
  <c r="M43" i="3"/>
  <c r="H62" i="3"/>
  <c r="H52" i="3"/>
  <c r="F53" i="7"/>
  <c r="F50" i="7" s="1"/>
  <c r="M20" i="7" l="1"/>
  <c r="O109" i="7"/>
  <c r="O113" i="7"/>
  <c r="H19" i="7"/>
  <c r="H113" i="7"/>
  <c r="G103" i="7"/>
  <c r="K37" i="7"/>
  <c r="M37" i="7"/>
  <c r="M109" i="7"/>
  <c r="O19" i="7"/>
  <c r="G43" i="3"/>
  <c r="G67" i="7"/>
  <c r="H42" i="3"/>
  <c r="O42" i="3"/>
  <c r="G37" i="7"/>
  <c r="M113" i="7" l="1"/>
  <c r="M19" i="7"/>
  <c r="H13" i="1" l="1"/>
  <c r="O13" i="1"/>
  <c r="O31" i="1"/>
  <c r="M31" i="1"/>
  <c r="K31" i="1"/>
  <c r="N36" i="3"/>
  <c r="L36" i="3"/>
  <c r="J36" i="3"/>
  <c r="J35" i="3" s="1"/>
  <c r="J34" i="3" s="1"/>
  <c r="O35" i="3"/>
  <c r="M35" i="3"/>
  <c r="M34" i="3" s="1"/>
  <c r="K35" i="3"/>
  <c r="K34" i="3" s="1"/>
  <c r="H35" i="3"/>
  <c r="H34" i="3" s="1"/>
  <c r="O34" i="3"/>
  <c r="J49" i="3" l="1"/>
  <c r="L49" i="3"/>
  <c r="N49" i="3"/>
  <c r="N31" i="1"/>
  <c r="J31" i="1"/>
  <c r="N35" i="3"/>
  <c r="N34" i="3" s="1"/>
  <c r="L35" i="3"/>
  <c r="L34" i="3" s="1"/>
  <c r="I35" i="3"/>
  <c r="I34" i="3" s="1"/>
  <c r="L31" i="1"/>
  <c r="F13" i="1" l="1"/>
  <c r="A1" i="7" l="1"/>
  <c r="A1" i="6"/>
  <c r="A1" i="5"/>
  <c r="N33" i="3"/>
  <c r="N32" i="3" s="1"/>
  <c r="N31" i="3" s="1"/>
  <c r="O32" i="3"/>
  <c r="O31" i="3" s="1"/>
  <c r="O23" i="3"/>
  <c r="N21" i="3"/>
  <c r="N20" i="3" s="1"/>
  <c r="N17" i="3"/>
  <c r="N16" i="3"/>
  <c r="O15" i="3"/>
  <c r="O12" i="3"/>
  <c r="L33" i="3"/>
  <c r="L32" i="3" s="1"/>
  <c r="L31" i="3" s="1"/>
  <c r="M32" i="3"/>
  <c r="M31" i="3" s="1"/>
  <c r="M23" i="3"/>
  <c r="L21" i="3"/>
  <c r="L20" i="3" s="1"/>
  <c r="L17" i="3"/>
  <c r="L16" i="3"/>
  <c r="M15" i="3"/>
  <c r="M12" i="3"/>
  <c r="J33" i="3"/>
  <c r="J32" i="3" s="1"/>
  <c r="J31" i="3" s="1"/>
  <c r="J21" i="3"/>
  <c r="J20" i="3" s="1"/>
  <c r="J17" i="3"/>
  <c r="J16" i="3"/>
  <c r="K32" i="3"/>
  <c r="K31" i="3" s="1"/>
  <c r="K23" i="3"/>
  <c r="K15" i="3"/>
  <c r="K12" i="3"/>
  <c r="I33" i="3"/>
  <c r="I32" i="3" s="1"/>
  <c r="I31" i="3" s="1"/>
  <c r="H32" i="3"/>
  <c r="H31" i="3" s="1"/>
  <c r="H23" i="3"/>
  <c r="I21" i="3"/>
  <c r="I20" i="3" s="1"/>
  <c r="I16" i="3"/>
  <c r="H15" i="3"/>
  <c r="H12" i="3"/>
  <c r="G33" i="3"/>
  <c r="G32" i="3" s="1"/>
  <c r="G31" i="3" s="1"/>
  <c r="G21" i="3"/>
  <c r="G20" i="3" s="1"/>
  <c r="G17" i="3"/>
  <c r="I11" i="1" l="1"/>
  <c r="I29" i="3"/>
  <c r="K29" i="3"/>
  <c r="K11" i="3" s="1"/>
  <c r="K10" i="1" s="1"/>
  <c r="K11" i="1"/>
  <c r="H29" i="3"/>
  <c r="H11" i="3" s="1"/>
  <c r="H10" i="1" s="1"/>
  <c r="H11" i="1"/>
  <c r="F11" i="1"/>
  <c r="F10" i="1"/>
  <c r="J11" i="1"/>
  <c r="J29" i="3"/>
  <c r="M29" i="3"/>
  <c r="M11" i="3" s="1"/>
  <c r="M10" i="1" s="1"/>
  <c r="M11" i="1"/>
  <c r="N11" i="1"/>
  <c r="N29" i="3"/>
  <c r="G11" i="1"/>
  <c r="G29" i="3"/>
  <c r="G11" i="3" s="1"/>
  <c r="L11" i="1"/>
  <c r="L29" i="3"/>
  <c r="O29" i="3"/>
  <c r="O11" i="3" s="1"/>
  <c r="O10" i="1" s="1"/>
  <c r="O11" i="1"/>
  <c r="I17" i="3"/>
  <c r="I15" i="3"/>
  <c r="I11" i="3" s="1"/>
  <c r="I12" i="3"/>
  <c r="J15" i="3"/>
  <c r="L12" i="3"/>
  <c r="G15" i="3"/>
  <c r="L15" i="3"/>
  <c r="L23" i="3"/>
  <c r="J12" i="3"/>
  <c r="N12" i="3"/>
  <c r="N15" i="3"/>
  <c r="J23" i="3"/>
  <c r="N23" i="3"/>
  <c r="A1" i="3"/>
  <c r="G12" i="3"/>
  <c r="N101" i="7"/>
  <c r="N86" i="7"/>
  <c r="N85" i="7" s="1"/>
  <c r="N84" i="7" s="1"/>
  <c r="N83" i="7"/>
  <c r="O106" i="7"/>
  <c r="N78" i="7"/>
  <c r="N77" i="7" s="1"/>
  <c r="N76" i="7" s="1"/>
  <c r="N57" i="3"/>
  <c r="N69" i="7"/>
  <c r="N68" i="7" s="1"/>
  <c r="N66" i="7"/>
  <c r="N48" i="7"/>
  <c r="N42" i="7"/>
  <c r="N39" i="7" s="1"/>
  <c r="N38" i="7" s="1"/>
  <c r="N36" i="7"/>
  <c r="N35" i="7" s="1"/>
  <c r="O90" i="3"/>
  <c r="N33" i="7"/>
  <c r="N28" i="7"/>
  <c r="N24" i="7"/>
  <c r="N72" i="3" s="1"/>
  <c r="N23" i="7"/>
  <c r="N53" i="3" s="1"/>
  <c r="N18" i="7"/>
  <c r="N67" i="3" s="1"/>
  <c r="N58" i="3"/>
  <c r="N64" i="3"/>
  <c r="L101" i="7"/>
  <c r="L86" i="7"/>
  <c r="L85" i="7" s="1"/>
  <c r="L84" i="7" s="1"/>
  <c r="L83" i="7"/>
  <c r="M106" i="7"/>
  <c r="L78" i="7"/>
  <c r="L77" i="7" s="1"/>
  <c r="L76" i="7" s="1"/>
  <c r="L57" i="3"/>
  <c r="L69" i="7"/>
  <c r="L68" i="7" s="1"/>
  <c r="L66" i="7"/>
  <c r="L64" i="7" s="1"/>
  <c r="L63" i="7" s="1"/>
  <c r="L62" i="7" s="1"/>
  <c r="L48" i="7"/>
  <c r="L42" i="7"/>
  <c r="L36" i="7"/>
  <c r="L35" i="7" s="1"/>
  <c r="M90" i="3"/>
  <c r="L33" i="7"/>
  <c r="L28" i="7"/>
  <c r="L24" i="7"/>
  <c r="L72" i="3" s="1"/>
  <c r="L23" i="7"/>
  <c r="L18" i="7"/>
  <c r="L67" i="3" s="1"/>
  <c r="L58" i="3"/>
  <c r="K90" i="3"/>
  <c r="K106" i="7"/>
  <c r="J66" i="7"/>
  <c r="J58" i="3"/>
  <c r="I86" i="7"/>
  <c r="I85" i="7" s="1"/>
  <c r="I78" i="7"/>
  <c r="I77" i="7" s="1"/>
  <c r="I76" i="7" s="1"/>
  <c r="I69" i="7"/>
  <c r="I68" i="7" s="1"/>
  <c r="I66" i="7"/>
  <c r="I64" i="7" s="1"/>
  <c r="I63" i="7" s="1"/>
  <c r="I48" i="7"/>
  <c r="I44" i="7"/>
  <c r="I42" i="7"/>
  <c r="I36" i="7"/>
  <c r="I35" i="7" s="1"/>
  <c r="H90" i="3"/>
  <c r="I33" i="7"/>
  <c r="I28" i="7"/>
  <c r="I22" i="7"/>
  <c r="I21" i="7" s="1"/>
  <c r="I67" i="3"/>
  <c r="I10" i="7"/>
  <c r="G101" i="7"/>
  <c r="F100" i="7"/>
  <c r="F99" i="7" s="1"/>
  <c r="F98" i="7" s="1"/>
  <c r="F97" i="7" s="1"/>
  <c r="F95" i="7"/>
  <c r="F94" i="7" s="1"/>
  <c r="F93" i="7" s="1"/>
  <c r="F92" i="7" s="1"/>
  <c r="F86" i="7"/>
  <c r="F85" i="7" s="1"/>
  <c r="F82" i="7"/>
  <c r="F81" i="7" s="1"/>
  <c r="F106" i="7" s="1"/>
  <c r="F78" i="7"/>
  <c r="F77" i="7" s="1"/>
  <c r="F76" i="7" s="1"/>
  <c r="F73" i="7"/>
  <c r="F72" i="7" s="1"/>
  <c r="F68" i="7"/>
  <c r="F64" i="7"/>
  <c r="F63" i="7" s="1"/>
  <c r="F62" i="7" s="1"/>
  <c r="F43" i="7"/>
  <c r="F39" i="7"/>
  <c r="F38" i="7" s="1"/>
  <c r="F35" i="7"/>
  <c r="F25" i="7"/>
  <c r="F22" i="7"/>
  <c r="F21" i="7" s="1"/>
  <c r="F15" i="7"/>
  <c r="F14" i="7" s="1"/>
  <c r="F13" i="7" s="1"/>
  <c r="F10" i="7"/>
  <c r="F9" i="7" s="1"/>
  <c r="F8" i="7" s="1"/>
  <c r="N77" i="3" l="1"/>
  <c r="N71" i="3" s="1"/>
  <c r="I10" i="1"/>
  <c r="I9" i="1" s="1"/>
  <c r="M9" i="1"/>
  <c r="H9" i="1"/>
  <c r="L53" i="3"/>
  <c r="O9" i="1"/>
  <c r="K9" i="1"/>
  <c r="J11" i="3"/>
  <c r="J10" i="1" s="1"/>
  <c r="J9" i="1" s="1"/>
  <c r="F9" i="1"/>
  <c r="G10" i="1"/>
  <c r="G9" i="1" s="1"/>
  <c r="L77" i="3"/>
  <c r="L71" i="3" s="1"/>
  <c r="L29" i="7"/>
  <c r="N11" i="3"/>
  <c r="N10" i="1" s="1"/>
  <c r="N9" i="1" s="1"/>
  <c r="L11" i="3"/>
  <c r="L10" i="1" s="1"/>
  <c r="L9" i="1" s="1"/>
  <c r="L25" i="7"/>
  <c r="L92" i="3"/>
  <c r="I25" i="7"/>
  <c r="I111" i="7" s="1"/>
  <c r="I92" i="3"/>
  <c r="L43" i="7"/>
  <c r="N25" i="7"/>
  <c r="N92" i="3"/>
  <c r="I39" i="7"/>
  <c r="I38" i="7" s="1"/>
  <c r="L48" i="3"/>
  <c r="L15" i="7"/>
  <c r="L14" i="7" s="1"/>
  <c r="L13" i="7" s="1"/>
  <c r="N22" i="7"/>
  <c r="N21" i="7" s="1"/>
  <c r="N47" i="3"/>
  <c r="N41" i="1" s="1"/>
  <c r="N73" i="7"/>
  <c r="N72" i="7" s="1"/>
  <c r="N107" i="7" s="1"/>
  <c r="N56" i="3"/>
  <c r="N82" i="7"/>
  <c r="N81" i="7" s="1"/>
  <c r="N80" i="7" s="1"/>
  <c r="I15" i="7"/>
  <c r="I14" i="7" s="1"/>
  <c r="I13" i="7" s="1"/>
  <c r="I62" i="7"/>
  <c r="I95" i="7"/>
  <c r="I94" i="7" s="1"/>
  <c r="I93" i="7" s="1"/>
  <c r="I92" i="7" s="1"/>
  <c r="L86" i="3"/>
  <c r="L95" i="7"/>
  <c r="L94" i="7" s="1"/>
  <c r="L93" i="7" s="1"/>
  <c r="L92" i="7" s="1"/>
  <c r="N48" i="3"/>
  <c r="N15" i="7"/>
  <c r="N14" i="7" s="1"/>
  <c r="N13" i="7" s="1"/>
  <c r="N64" i="7"/>
  <c r="N63" i="7" s="1"/>
  <c r="N62" i="7" s="1"/>
  <c r="I29" i="7"/>
  <c r="I73" i="7"/>
  <c r="I72" i="7" s="1"/>
  <c r="I67" i="7" s="1"/>
  <c r="N59" i="3"/>
  <c r="N29" i="7"/>
  <c r="I91" i="3"/>
  <c r="I100" i="7"/>
  <c r="I99" i="7" s="1"/>
  <c r="I98" i="7" s="1"/>
  <c r="L55" i="3"/>
  <c r="M52" i="3" s="1"/>
  <c r="L10" i="7"/>
  <c r="L9" i="7" s="1"/>
  <c r="L8" i="7" s="1"/>
  <c r="L91" i="3"/>
  <c r="L100" i="7"/>
  <c r="L99" i="7" s="1"/>
  <c r="L98" i="7" s="1"/>
  <c r="N86" i="3"/>
  <c r="N95" i="7"/>
  <c r="N94" i="7" s="1"/>
  <c r="N93" i="7" s="1"/>
  <c r="N92" i="7" s="1"/>
  <c r="G91" i="3"/>
  <c r="G84" i="3" s="1"/>
  <c r="G83" i="3" s="1"/>
  <c r="G100" i="7"/>
  <c r="G99" i="7" s="1"/>
  <c r="G98" i="7" s="1"/>
  <c r="I9" i="7"/>
  <c r="I8" i="7" s="1"/>
  <c r="I43" i="7"/>
  <c r="I82" i="7"/>
  <c r="I81" i="7" s="1"/>
  <c r="I80" i="7" s="1"/>
  <c r="L22" i="7"/>
  <c r="L21" i="7" s="1"/>
  <c r="L59" i="3"/>
  <c r="L44" i="3"/>
  <c r="L39" i="7"/>
  <c r="L38" i="7" s="1"/>
  <c r="L47" i="3"/>
  <c r="L41" i="1" s="1"/>
  <c r="L73" i="7"/>
  <c r="L72" i="7" s="1"/>
  <c r="L67" i="7" s="1"/>
  <c r="L56" i="3"/>
  <c r="L82" i="7"/>
  <c r="L81" i="7" s="1"/>
  <c r="L80" i="7" s="1"/>
  <c r="N55" i="3"/>
  <c r="N9" i="7"/>
  <c r="N8" i="7" s="1"/>
  <c r="N43" i="7"/>
  <c r="N37" i="7" s="1"/>
  <c r="N91" i="3"/>
  <c r="N100" i="7"/>
  <c r="N99" i="7" s="1"/>
  <c r="N98" i="7" s="1"/>
  <c r="G52" i="3"/>
  <c r="G42" i="3" s="1"/>
  <c r="G10" i="7"/>
  <c r="G9" i="7" s="1"/>
  <c r="G8" i="7" s="1"/>
  <c r="G7" i="7" s="1"/>
  <c r="I62" i="3"/>
  <c r="I71" i="3"/>
  <c r="N62" i="3"/>
  <c r="O84" i="3"/>
  <c r="O83" i="3" s="1"/>
  <c r="O14" i="1" s="1"/>
  <c r="O12" i="1" s="1"/>
  <c r="H84" i="3"/>
  <c r="H83" i="3" s="1"/>
  <c r="H14" i="1" s="1"/>
  <c r="H12" i="1" s="1"/>
  <c r="M84" i="3"/>
  <c r="M83" i="3" s="1"/>
  <c r="M14" i="1" s="1"/>
  <c r="N90" i="3"/>
  <c r="L62" i="3"/>
  <c r="L90" i="3"/>
  <c r="N44" i="3"/>
  <c r="K107" i="7"/>
  <c r="M111" i="7"/>
  <c r="F111" i="7"/>
  <c r="F37" i="7"/>
  <c r="H111" i="7"/>
  <c r="H107" i="7"/>
  <c r="O111" i="7"/>
  <c r="O107" i="7"/>
  <c r="M110" i="7"/>
  <c r="F107" i="7"/>
  <c r="M107" i="7"/>
  <c r="H105" i="7"/>
  <c r="F110" i="7"/>
  <c r="K110" i="7"/>
  <c r="H108" i="7"/>
  <c r="O110" i="7"/>
  <c r="H110" i="7"/>
  <c r="G106" i="7"/>
  <c r="O108" i="7"/>
  <c r="H106" i="7"/>
  <c r="F108" i="7"/>
  <c r="M105" i="7"/>
  <c r="M108" i="7"/>
  <c r="O105" i="7"/>
  <c r="F105" i="7"/>
  <c r="F80" i="7"/>
  <c r="F67" i="7"/>
  <c r="F29" i="7"/>
  <c r="F109" i="7" s="1"/>
  <c r="F7" i="7"/>
  <c r="N106" i="7" l="1"/>
  <c r="L109" i="7"/>
  <c r="N109" i="7"/>
  <c r="L97" i="7"/>
  <c r="N97" i="7"/>
  <c r="I20" i="7"/>
  <c r="I109" i="7"/>
  <c r="G97" i="7"/>
  <c r="I97" i="7"/>
  <c r="H15" i="1"/>
  <c r="F20" i="7"/>
  <c r="O15" i="1"/>
  <c r="L107" i="7"/>
  <c r="I103" i="7"/>
  <c r="M42" i="3"/>
  <c r="M13" i="1" s="1"/>
  <c r="M12" i="1" s="1"/>
  <c r="M15" i="1" s="1"/>
  <c r="I107" i="7"/>
  <c r="L37" i="7"/>
  <c r="L103" i="7"/>
  <c r="N103" i="7"/>
  <c r="I106" i="7"/>
  <c r="L52" i="3"/>
  <c r="L43" i="3"/>
  <c r="I43" i="3"/>
  <c r="I84" i="3"/>
  <c r="I83" i="3" s="1"/>
  <c r="I14" i="1" s="1"/>
  <c r="N84" i="3"/>
  <c r="N83" i="3" s="1"/>
  <c r="N14" i="1" s="1"/>
  <c r="N67" i="7"/>
  <c r="N52" i="3"/>
  <c r="I37" i="7"/>
  <c r="I52" i="3"/>
  <c r="L20" i="7"/>
  <c r="L7" i="7"/>
  <c r="I7" i="7"/>
  <c r="N20" i="7"/>
  <c r="N7" i="7"/>
  <c r="F14" i="1"/>
  <c r="F12" i="1" s="1"/>
  <c r="F15" i="1" s="1"/>
  <c r="N43" i="3"/>
  <c r="L84" i="3"/>
  <c r="L83" i="3" s="1"/>
  <c r="L14" i="1" s="1"/>
  <c r="I105" i="7"/>
  <c r="L111" i="7"/>
  <c r="G111" i="7"/>
  <c r="N111" i="7"/>
  <c r="G110" i="7"/>
  <c r="I108" i="7"/>
  <c r="L105" i="7"/>
  <c r="L106" i="7"/>
  <c r="G107" i="7"/>
  <c r="I110" i="7"/>
  <c r="H112" i="7"/>
  <c r="H4" i="7"/>
  <c r="H13" i="5" s="1"/>
  <c r="H12" i="5" s="1"/>
  <c r="H11" i="5" s="1"/>
  <c r="G14" i="1"/>
  <c r="M4" i="7"/>
  <c r="G105" i="7"/>
  <c r="L110" i="7"/>
  <c r="N105" i="7"/>
  <c r="N108" i="7"/>
  <c r="N110" i="7"/>
  <c r="G108" i="7"/>
  <c r="F112" i="7"/>
  <c r="M112" i="7"/>
  <c r="O112" i="7"/>
  <c r="L108" i="7"/>
  <c r="J101" i="7"/>
  <c r="N113" i="7" l="1"/>
  <c r="I113" i="7"/>
  <c r="L113" i="7"/>
  <c r="M12" i="5"/>
  <c r="M11" i="5" s="1"/>
  <c r="I19" i="7"/>
  <c r="I4" i="7" s="1"/>
  <c r="I12" i="5" s="1"/>
  <c r="I11" i="5" s="1"/>
  <c r="F19" i="7"/>
  <c r="F4" i="7" s="1"/>
  <c r="F113" i="7"/>
  <c r="F114" i="7" s="1"/>
  <c r="N19" i="7"/>
  <c r="N4" i="7" s="1"/>
  <c r="L19" i="7"/>
  <c r="L4" i="7" s="1"/>
  <c r="M114" i="7"/>
  <c r="L42" i="3"/>
  <c r="L13" i="1" s="1"/>
  <c r="L12" i="1" s="1"/>
  <c r="L15" i="1" s="1"/>
  <c r="N42" i="3"/>
  <c r="N13" i="1" s="1"/>
  <c r="N12" i="1" s="1"/>
  <c r="N15" i="1" s="1"/>
  <c r="I42" i="3"/>
  <c r="I13" i="1" s="1"/>
  <c r="I12" i="1" s="1"/>
  <c r="I15" i="1" s="1"/>
  <c r="O114" i="7"/>
  <c r="H114" i="7"/>
  <c r="F13" i="5"/>
  <c r="F12" i="5" s="1"/>
  <c r="F11" i="5" s="1"/>
  <c r="J55" i="3"/>
  <c r="J91" i="3"/>
  <c r="J100" i="7"/>
  <c r="J99" i="7" s="1"/>
  <c r="J98" i="7" s="1"/>
  <c r="O4" i="7"/>
  <c r="G13" i="1"/>
  <c r="G12" i="1" s="1"/>
  <c r="G15" i="1" s="1"/>
  <c r="N112" i="7"/>
  <c r="L112" i="7"/>
  <c r="I112" i="7"/>
  <c r="J78" i="7"/>
  <c r="J77" i="7" s="1"/>
  <c r="J76" i="7" s="1"/>
  <c r="J36" i="7"/>
  <c r="J35" i="7" s="1"/>
  <c r="J69" i="7"/>
  <c r="J68" i="7" s="1"/>
  <c r="J83" i="7"/>
  <c r="L13" i="5" l="1"/>
  <c r="L12" i="5" s="1"/>
  <c r="L11" i="5" s="1"/>
  <c r="J97" i="7"/>
  <c r="N13" i="5"/>
  <c r="N12" i="5" s="1"/>
  <c r="N11" i="5" s="1"/>
  <c r="O12" i="5"/>
  <c r="O11" i="5" s="1"/>
  <c r="N114" i="7"/>
  <c r="L114" i="7"/>
  <c r="I114" i="7"/>
  <c r="J86" i="3"/>
  <c r="J95" i="7"/>
  <c r="J94" i="7" s="1"/>
  <c r="J93" i="7" s="1"/>
  <c r="J92" i="7" s="1"/>
  <c r="J56" i="3"/>
  <c r="J82" i="7"/>
  <c r="J81" i="7" s="1"/>
  <c r="J106" i="7" s="1"/>
  <c r="J110" i="7"/>
  <c r="J64" i="7"/>
  <c r="J63" i="7" s="1"/>
  <c r="J62" i="7" s="1"/>
  <c r="J9" i="7"/>
  <c r="J8" i="7" s="1"/>
  <c r="J48" i="7"/>
  <c r="J43" i="7" s="1"/>
  <c r="J47" i="3" l="1"/>
  <c r="J41" i="1" s="1"/>
  <c r="J73" i="7"/>
  <c r="J72" i="7" s="1"/>
  <c r="J67" i="7" s="1"/>
  <c r="J57" i="3"/>
  <c r="J86" i="7"/>
  <c r="J85" i="7" s="1"/>
  <c r="J64" i="3"/>
  <c r="J90" i="3"/>
  <c r="J44" i="3"/>
  <c r="J105" i="7"/>
  <c r="J39" i="7"/>
  <c r="J38" i="7" s="1"/>
  <c r="J80" i="7" l="1"/>
  <c r="J84" i="7"/>
  <c r="J37" i="7"/>
  <c r="J48" i="3"/>
  <c r="J43" i="3" s="1"/>
  <c r="J107" i="7"/>
  <c r="G35" i="3" l="1"/>
  <c r="G34" i="3" s="1"/>
  <c r="K67" i="3" l="1"/>
  <c r="K62" i="3" s="1"/>
  <c r="J67" i="3"/>
  <c r="K15" i="7"/>
  <c r="K14" i="7" s="1"/>
  <c r="J62" i="3" l="1"/>
  <c r="K108" i="7"/>
  <c r="K13" i="7"/>
  <c r="J14" i="7"/>
  <c r="K7" i="7" l="1"/>
  <c r="J108" i="7"/>
  <c r="J13" i="7"/>
  <c r="J7" i="7" l="1"/>
  <c r="K77" i="3"/>
  <c r="J33" i="7"/>
  <c r="J59" i="3"/>
  <c r="K29" i="7"/>
  <c r="K109" i="7" s="1"/>
  <c r="J77" i="3" l="1"/>
  <c r="J29" i="7"/>
  <c r="J109" i="7" s="1"/>
  <c r="K71" i="3" l="1"/>
  <c r="J24" i="7"/>
  <c r="J72" i="3" s="1"/>
  <c r="J71" i="3" s="1"/>
  <c r="K52" i="3"/>
  <c r="K22" i="7"/>
  <c r="K21" i="7" s="1"/>
  <c r="K103" i="7" s="1"/>
  <c r="J23" i="7"/>
  <c r="J53" i="3" s="1"/>
  <c r="K42" i="3" l="1"/>
  <c r="J22" i="7"/>
  <c r="J21" i="7" s="1"/>
  <c r="J103" i="7" s="1"/>
  <c r="K13" i="1" l="1"/>
  <c r="J52" i="3"/>
  <c r="J42" i="3" l="1"/>
  <c r="J13" i="1" s="1"/>
  <c r="K25" i="7"/>
  <c r="K111" i="7" s="1"/>
  <c r="K112" i="7" s="1"/>
  <c r="J28" i="7"/>
  <c r="J92" i="3" s="1"/>
  <c r="K92" i="3"/>
  <c r="K84" i="3" s="1"/>
  <c r="K83" i="3" s="1"/>
  <c r="K14" i="1" s="1"/>
  <c r="K12" i="1" s="1"/>
  <c r="K15" i="1" s="1"/>
  <c r="J84" i="3" l="1"/>
  <c r="J83" i="3" s="1"/>
  <c r="J14" i="1" s="1"/>
  <c r="J12" i="1" s="1"/>
  <c r="J15" i="1" s="1"/>
  <c r="J25" i="7"/>
  <c r="K20" i="7"/>
  <c r="K19" i="7" l="1"/>
  <c r="K4" i="7" s="1"/>
  <c r="K113" i="7"/>
  <c r="K114" i="7" s="1"/>
  <c r="J111" i="7"/>
  <c r="J112" i="7" s="1"/>
  <c r="J20" i="7"/>
  <c r="J19" i="7" l="1"/>
  <c r="J4" i="7" s="1"/>
  <c r="J13" i="5" s="1"/>
  <c r="J12" i="5" s="1"/>
  <c r="J11" i="5" s="1"/>
  <c r="J113" i="7"/>
  <c r="J114" i="7" s="1"/>
  <c r="K12" i="5"/>
  <c r="K11" i="5" s="1"/>
  <c r="G109" i="7"/>
  <c r="G112" i="7" s="1"/>
  <c r="G20" i="7"/>
  <c r="G113" i="7" s="1"/>
  <c r="G19" i="7" l="1"/>
  <c r="G4" i="7" s="1"/>
  <c r="G13" i="5" s="1"/>
  <c r="G12" i="5" s="1"/>
  <c r="G11" i="5" s="1"/>
  <c r="G114" i="7"/>
</calcChain>
</file>

<file path=xl/sharedStrings.xml><?xml version="1.0" encoding="utf-8"?>
<sst xmlns="http://schemas.openxmlformats.org/spreadsheetml/2006/main" count="454" uniqueCount="143">
  <si>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</si>
  <si>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</si>
  <si>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</si>
  <si>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</si>
  <si>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</si>
  <si>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</si>
  <si>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</si>
  <si>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</si>
  <si>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</si>
  <si>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</si>
  <si>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</si>
  <si>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</si>
  <si>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</si>
  <si>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</si>
  <si>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</si>
  <si>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</si>
  <si>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</si>
  <si>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</si>
  <si>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</si>
  <si>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</si>
  <si>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</si>
  <si>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</si>
  <si>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</si>
  <si>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</si>
  <si>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</si>
  <si>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</si>
  <si>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</si>
  <si>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</si>
  <si>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</si>
  <si>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</si>
  <si>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</si>
  <si>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</si>
  <si>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</si>
  <si>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</si>
  <si>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</si>
  <si>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</si>
  <si>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</si>
  <si>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</si>
  <si>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</si>
  <si>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</si>
  <si>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</si>
  <si>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</si>
  <si>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</si>
  <si>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</si>
  <si>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</si>
  <si>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</si>
  <si>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</si>
  <si>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kn</t>
  </si>
  <si>
    <t>eur</t>
  </si>
  <si>
    <t>DECENTRALIZIRANE FUNKCIJE -MIN. FIN. STANDARD</t>
  </si>
  <si>
    <t>A805401</t>
  </si>
  <si>
    <t>MATERIJALNI I FINANCIJSKI RASHODI</t>
  </si>
  <si>
    <t>Potpore za decentralizirane izdatke</t>
  </si>
  <si>
    <t>T805404</t>
  </si>
  <si>
    <t>REDOVNA DJELATNOST OSNOVNOG OBRAZOVANJA</t>
  </si>
  <si>
    <t>Pomoći iz državnog proračuna za plaće te ostale rashode za zaposlene</t>
  </si>
  <si>
    <t>Financijski rashodi</t>
  </si>
  <si>
    <t>DECENTRALIZIRANE FUNKCIJE -IZNAD MIN. FIN. STANDARDA</t>
  </si>
  <si>
    <t>A805502</t>
  </si>
  <si>
    <t>OSTALI PROJEKTI U OSNOVNOM ŠKOLSTVU</t>
  </si>
  <si>
    <t>Naknade građanima i kućanstvima na temelju osig. i dr. naknade</t>
  </si>
  <si>
    <t>Višak/manjak prihoda proračunskih korisnika</t>
  </si>
  <si>
    <t>Donacije i ostali namjenski prihodi proračunskih korisnika</t>
  </si>
  <si>
    <t>A805506</t>
  </si>
  <si>
    <t>PRODUŽENI BORAVAK</t>
  </si>
  <si>
    <t>A805523</t>
  </si>
  <si>
    <t>STRUČNO RAZVOJNE SLUŽBE</t>
  </si>
  <si>
    <t>A805536</t>
  </si>
  <si>
    <t>EU fondovi - pomoći</t>
  </si>
  <si>
    <t>ASISTENTI U NASTAVI</t>
  </si>
  <si>
    <t>A805539</t>
  </si>
  <si>
    <t>NABAVA ŠKOLSKIH UDŽBENIKA</t>
  </si>
  <si>
    <t>A805540</t>
  </si>
  <si>
    <t>SHEMA ŠKOLSKOG VOĆA</t>
  </si>
  <si>
    <t>Namjenske tekuće pomoći</t>
  </si>
  <si>
    <t>KAPITALNO ULAGANJE U ŠKOLSTVO - MIN. FIN. STANDARD</t>
  </si>
  <si>
    <t>K805602</t>
  </si>
  <si>
    <t>ŠKOLSKA OPREMA</t>
  </si>
  <si>
    <t>KAPITALNO ULAGANJE U ŠKOLSTVO - IZNAD MIN. FIN. STANDARDA</t>
  </si>
  <si>
    <t>K805701</t>
  </si>
  <si>
    <t>Vlastiti prihodi proračunskih korisnika</t>
  </si>
  <si>
    <t>IZVOR 11</t>
  </si>
  <si>
    <t>IZVOR 31</t>
  </si>
  <si>
    <t>IZVOR 42</t>
  </si>
  <si>
    <t>IZVOR 44</t>
  </si>
  <si>
    <t>IZVOR 49</t>
  </si>
  <si>
    <t>IZVOR 25</t>
  </si>
  <si>
    <t>IZVOR 55</t>
  </si>
  <si>
    <t>IZVOR 29</t>
  </si>
  <si>
    <t>09 Obrazovanje</t>
  </si>
  <si>
    <t>091 Predškolsko i osnovno obrazovanje</t>
  </si>
  <si>
    <t>Prihodi od imovine</t>
  </si>
  <si>
    <t>Prihodi od up. i adm. Pristojbi, pristojbi po posebnim propisima i naknada</t>
  </si>
  <si>
    <t>Prihodi od up. i adm. pristojbi, pristojbi po posebnim propisima i naknada</t>
  </si>
  <si>
    <t>Vlastiti izvori</t>
  </si>
  <si>
    <t>Rezultat poslovanja</t>
  </si>
  <si>
    <t>Ostali prihodi</t>
  </si>
  <si>
    <t>Projekcija 
za 2026.</t>
  </si>
  <si>
    <t>Izvršenje 2022.</t>
  </si>
  <si>
    <t>Plan 2023.</t>
  </si>
  <si>
    <t>Plan za 2024.</t>
  </si>
  <si>
    <t>FINANCIJSKI PLAN PRORAČUNSKOG KORISNIKA JEDINICE LOKALNE I PODRUČNE (REGIONALNE) SAMOUPRAVE 
ZA 2024. I PROJEKCIJA ZA 2025. I 2026. GODINU</t>
  </si>
  <si>
    <t>PRIHODI POSLOVANJA PREMA IZVORIMA FINANCIRANJA</t>
  </si>
  <si>
    <t>Brojčana oznaka i naziv</t>
  </si>
  <si>
    <t>1 Opći prihodi i primici</t>
  </si>
  <si>
    <t xml:space="preserve">  11 Opći prihodi i primici</t>
  </si>
  <si>
    <t>RASHODI POSLOVANJA PREMA IZVORIMA FINANCIRANJA</t>
  </si>
  <si>
    <t>3 Vlastiti prihodi</t>
  </si>
  <si>
    <t xml:space="preserve">  31 Vlastiti prihodi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</si>
  <si>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</si>
  <si>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</si>
  <si>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</si>
  <si>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</si>
  <si>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</si>
  <si>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A805521</t>
  </si>
  <si>
    <t>TEKUĆE I INVESTICIJSKO ODRŽAVANJE IZNAD MIN.STANDARDA</t>
  </si>
  <si>
    <t>25 Vlastiti prihodi proračunskih korisnika</t>
  </si>
  <si>
    <t>11 Opći prihodi i primici</t>
  </si>
  <si>
    <t>29 Višak / manjak prihoda proračunskih korisnika</t>
  </si>
  <si>
    <t>31 Potpore za decentralizirane izdatke</t>
  </si>
  <si>
    <t>42 Namjenske tekuće pomoći</t>
  </si>
  <si>
    <t>44 EU fondovi i pomoći</t>
  </si>
  <si>
    <t>49 Pomoći iz državnog proračuna za plaće te ostale rashode za zaposlene</t>
  </si>
  <si>
    <t>55 Donacije i ostali namjenski prihodi proračunskih korisnika</t>
  </si>
  <si>
    <t>Ostali rashodi</t>
  </si>
  <si>
    <t>A805543</t>
  </si>
  <si>
    <t>PREHRANA ZA UČENIKE U OSNOVNIM ŠKOLAMA</t>
  </si>
  <si>
    <t xml:space="preserve">C) PRENESENI VIŠAK ILI PRENESENI MANJAK </t>
  </si>
  <si>
    <t>D) VIŠEGODIŠNJI PLAN URAVNOTEŽENJA</t>
  </si>
  <si>
    <t>PRIJENOS VIŠKA / MANJKA U SLJEDEĆE RAZDOBLJE</t>
  </si>
  <si>
    <t>VIŠAK / MANJAK + NETO FINANCIRANJE + PRIJENOS VIŠKA / MANJKA IZ PRETHODNE(IH) GODINE -PRIJENOS VIŠKA / MANJKA U SLJEDEĆE RAZDOBLJE</t>
  </si>
  <si>
    <t>PRIJENOS VIŠKA / MANJKA IZ PRETHODNE/IH GODINE</t>
  </si>
  <si>
    <t>PRIJENOS VIŠKA / MANJKA IZ PRETHODNE (IH) GODINE</t>
  </si>
  <si>
    <t>VIŠAK / MANJAK TEKUĆE GODINE</t>
  </si>
  <si>
    <t>FINANCIJSKI PLAN OSNOVNE ŠKOLE ANTUNA MASLE - ORAŠAC ZA 2025. I                                                                                                                                                PROJEKCIJA PLANA ZA  2026. I 2027. GODINU</t>
  </si>
  <si>
    <t>ORAŠAC, STUDENI 2024.</t>
  </si>
  <si>
    <t>FINANCIJSKI PLAN OSNOVNE ŠKOLE ANTUNA MASLE - ORAŠAC ZA 2025. I PROJEKCIJA ZA 2026. I 2027. GODINU</t>
  </si>
  <si>
    <t>Izvršenje 2023.</t>
  </si>
  <si>
    <t>Plan 2024.</t>
  </si>
  <si>
    <t>Proračun za 2025.</t>
  </si>
  <si>
    <t>Projekcija 
za 2027.</t>
  </si>
  <si>
    <t>Plan za 2025.</t>
  </si>
  <si>
    <t>IZVOR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</si>
</sst>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indexed="8"/>
      <name val="MS Sans Serif"/>
      <charset val="238"/>
    </font>
    <font>
      <b/>
      <sz val="11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3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/>
    <xf numFmtId="0" fontId="21" fillId="0" borderId="0" xfId="1" applyNumberFormat="1" applyFont="1" applyFill="1" applyBorder="1" applyAlignment="1" applyProtection="1"/>
    <xf numFmtId="0" fontId="21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3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right"/>
    </xf>
    <xf numFmtId="3" fontId="6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/>
    </xf>
    <xf numFmtId="0" fontId="11" fillId="2" borderId="4" xfId="0" applyNumberFormat="1" applyFont="1" applyFill="1" applyBorder="1" applyAlignment="1" applyProtection="1">
      <alignment vertical="center" wrapText="1"/>
    </xf>
    <xf numFmtId="0" fontId="9" fillId="2" borderId="4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7" fillId="6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164" fontId="3" fillId="0" borderId="0" xfId="1" applyNumberFormat="1" applyFont="1" applyFill="1" applyBorder="1" applyAlignment="1" applyProtection="1"/>
    <xf numFmtId="4" fontId="0" fillId="0" borderId="0" xfId="0" applyNumberFormat="1" applyAlignment="1">
      <alignment horizontal="right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0" fontId="17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2" fillId="0" borderId="0" xfId="0" applyFont="1"/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9" fillId="6" borderId="4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11" fillId="5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3" fontId="6" fillId="4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2" borderId="4" xfId="0" quotePrefix="1" applyFont="1" applyFill="1" applyBorder="1" applyAlignment="1">
      <alignment horizontal="left" vertical="center"/>
    </xf>
    <xf numFmtId="0" fontId="0" fillId="0" borderId="0" xfId="0" applyFont="1"/>
    <xf numFmtId="4" fontId="23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/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7" fillId="6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" fontId="19" fillId="0" borderId="3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/>
    </xf>
    <xf numFmtId="4" fontId="1" fillId="0" borderId="0" xfId="0" applyNumberFormat="1" applyFon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4" fontId="9" fillId="6" borderId="4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11" fillId="5" borderId="3" xfId="0" applyNumberFormat="1" applyFont="1" applyFill="1" applyBorder="1" applyAlignment="1"/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4" fontId="11" fillId="0" borderId="4" xfId="0" applyNumberFormat="1" applyFont="1" applyFill="1" applyBorder="1" applyAlignment="1" applyProtection="1">
      <alignment horizontal="right" vertical="center" wrapText="1"/>
    </xf>
    <xf numFmtId="0" fontId="24" fillId="0" borderId="0" xfId="0" applyFont="1"/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4" fontId="6" fillId="4" borderId="1" xfId="0" quotePrefix="1" applyNumberFormat="1" applyFont="1" applyFill="1" applyBorder="1" applyAlignment="1">
      <alignment horizontal="right"/>
    </xf>
    <xf numFmtId="1" fontId="6" fillId="4" borderId="1" xfId="0" quotePrefix="1" applyNumberFormat="1" applyFont="1" applyFill="1" applyBorder="1" applyAlignment="1">
      <alignment horizontal="right"/>
    </xf>
    <xf numFmtId="1" fontId="6" fillId="4" borderId="3" xfId="0" applyNumberFormat="1" applyFont="1" applyFill="1" applyBorder="1" applyAlignment="1" applyProtection="1">
      <alignment horizontal="right" wrapText="1"/>
    </xf>
    <xf numFmtId="1" fontId="6" fillId="4" borderId="3" xfId="0" quotePrefix="1" applyNumberFormat="1" applyFont="1" applyFill="1" applyBorder="1" applyAlignment="1">
      <alignment horizontal="right"/>
    </xf>
    <xf numFmtId="1" fontId="6" fillId="3" borderId="1" xfId="0" quotePrefix="1" applyNumberFormat="1" applyFont="1" applyFill="1" applyBorder="1" applyAlignment="1">
      <alignment horizontal="right"/>
    </xf>
    <xf numFmtId="1" fontId="6" fillId="3" borderId="3" xfId="0" applyNumberFormat="1" applyFont="1" applyFill="1" applyBorder="1" applyAlignment="1" applyProtection="1">
      <alignment horizontal="right" wrapText="1"/>
    </xf>
    <xf numFmtId="1" fontId="6" fillId="3" borderId="3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quotePrefix="1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4" fontId="19" fillId="7" borderId="3" xfId="0" applyNumberFormat="1" applyFont="1" applyFill="1" applyBorder="1" applyAlignment="1" applyProtection="1">
      <alignment horizontal="center" vertical="center" wrapText="1"/>
    </xf>
    <xf numFmtId="0" fontId="10" fillId="2" borderId="0" xfId="0" quotePrefix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right"/>
    </xf>
    <xf numFmtId="0" fontId="17" fillId="6" borderId="1" xfId="0" applyNumberFormat="1" applyFont="1" applyFill="1" applyBorder="1" applyAlignment="1" applyProtection="1">
      <alignment horizontal="left" vertical="center" wrapText="1"/>
    </xf>
    <xf numFmtId="0" fontId="17" fillId="6" borderId="2" xfId="0" applyNumberFormat="1" applyFont="1" applyFill="1" applyBorder="1" applyAlignment="1" applyProtection="1">
      <alignment horizontal="left" vertical="center" wrapText="1"/>
    </xf>
    <xf numFmtId="0" fontId="17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9" fillId="0" borderId="0" xfId="1" applyNumberFormat="1" applyFont="1" applyFill="1" applyBorder="1" applyAlignment="1" applyProtection="1">
      <alignment horizontal="left"/>
    </xf>
    <xf numFmtId="0" fontId="20" fillId="0" borderId="0" xfId="1" applyNumberFormat="1" applyFont="1" applyFill="1" applyBorder="1" applyAlignment="1" applyProtection="1">
      <alignment horizontal="center" vertical="center" wrapText="1"/>
    </xf>
    <xf numFmtId="0" fontId="20" fillId="0" borderId="0" xfId="1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1" fontId="6" fillId="4" borderId="1" xfId="0" applyNumberFormat="1" applyFont="1" applyFill="1" applyBorder="1" applyAlignment="1" applyProtection="1">
      <alignment horizontal="left" vertical="center" wrapText="1"/>
    </xf>
    <xf numFmtId="1" fontId="6" fillId="4" borderId="2" xfId="0" applyNumberFormat="1" applyFont="1" applyFill="1" applyBorder="1" applyAlignment="1" applyProtection="1">
      <alignment horizontal="left" vertical="center" wrapText="1"/>
    </xf>
    <xf numFmtId="1" fontId="6" fillId="4" borderId="4" xfId="0" applyNumberFormat="1" applyFont="1" applyFill="1" applyBorder="1" applyAlignment="1" applyProtection="1">
      <alignment horizontal="left" vertical="center" wrapText="1"/>
    </xf>
    <xf numFmtId="1" fontId="6" fillId="3" borderId="1" xfId="0" applyNumberFormat="1" applyFont="1" applyFill="1" applyBorder="1" applyAlignment="1" applyProtection="1">
      <alignment horizontal="left" vertical="center" wrapText="1"/>
    </xf>
    <xf numFmtId="1" fontId="6" fillId="3" borderId="2" xfId="0" applyNumberFormat="1" applyFont="1" applyFill="1" applyBorder="1" applyAlignment="1" applyProtection="1">
      <alignment horizontal="left" vertical="center" wrapText="1"/>
    </xf>
    <xf numFmtId="1" fontId="6" fillId="3" borderId="4" xfId="0" applyNumberFormat="1" applyFont="1" applyFill="1" applyBorder="1" applyAlignment="1" applyProtection="1">
      <alignment horizontal="left" vertical="center" wrapText="1"/>
    </xf>
    <xf numFmtId="0" fontId="11" fillId="4" borderId="1" xfId="0" applyNumberFormat="1" applyFon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/>
    </xf>
    <xf numFmtId="0" fontId="11" fillId="4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7" fillId="6" borderId="1" xfId="0" applyNumberFormat="1" applyFont="1" applyFill="1" applyBorder="1" applyAlignment="1" applyProtection="1">
      <alignment horizontal="left" vertical="center" wrapText="1"/>
    </xf>
    <xf numFmtId="0" fontId="17" fillId="6" borderId="2" xfId="0" applyNumberFormat="1" applyFont="1" applyFill="1" applyBorder="1" applyAlignment="1" applyProtection="1">
      <alignment horizontal="left" vertical="center" wrapText="1"/>
    </xf>
    <xf numFmtId="0" fontId="17" fillId="6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9" fillId="2" borderId="1" xfId="0" applyNumberFormat="1" applyFont="1" applyFill="1" applyBorder="1" applyAlignment="1" applyProtection="1">
      <alignment horizontal="left" vertical="center" wrapText="1" indent="1"/>
    </xf>
    <xf numFmtId="0" fontId="9" fillId="2" borderId="2" xfId="0" applyNumberFormat="1" applyFont="1" applyFill="1" applyBorder="1" applyAlignment="1" applyProtection="1">
      <alignment horizontal="left" vertical="center" wrapText="1" indent="1"/>
    </xf>
    <xf numFmtId="0" fontId="9" fillId="2" borderId="4" xfId="0" applyNumberFormat="1" applyFont="1" applyFill="1" applyBorder="1" applyAlignment="1" applyProtection="1">
      <alignment horizontal="left" vertical="center" wrapText="1" inden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4" borderId="1" xfId="0" applyNumberFormat="1" applyFont="1" applyFill="1" applyBorder="1" applyAlignment="1" applyProtection="1">
      <alignment horizontal="center" vertical="center" wrapText="1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4" fontId="6" fillId="4" borderId="4" xfId="0" applyNumberFormat="1" applyFont="1" applyFill="1" applyBorder="1" applyAlignment="1" applyProtection="1">
      <alignment horizontal="center" vertical="center"/>
    </xf>
    <xf numFmtId="0" fontId="6" fillId="4" borderId="9" xfId="0" applyNumberFormat="1" applyFont="1" applyFill="1" applyBorder="1" applyAlignment="1" applyProtection="1">
      <alignment horizontal="center" vertical="center" wrapText="1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6" fillId="4" borderId="10" xfId="0" applyNumberFormat="1" applyFont="1" applyFill="1" applyBorder="1" applyAlignment="1" applyProtection="1">
      <alignment horizontal="center" vertical="center" wrapText="1"/>
    </xf>
    <xf numFmtId="0" fontId="6" fillId="4" borderId="11" xfId="0" applyNumberFormat="1" applyFont="1" applyFill="1" applyBorder="1" applyAlignment="1" applyProtection="1">
      <alignment horizontal="center" vertical="center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2" xfId="0" applyNumberFormat="1" applyFont="1" applyFill="1" applyBorder="1" applyAlignment="1" applyProtection="1">
      <alignment horizontal="center" vertical="center" wrapText="1"/>
    </xf>
    <xf numFmtId="3" fontId="11" fillId="5" borderId="3" xfId="0" applyNumberFormat="1" applyFont="1" applyFill="1" applyBorder="1" applyAlignment="1"/>
    <xf numFmtId="3" fontId="9" fillId="6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3" fontId="3" fillId="6" borderId="4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/>
    <xf numFmtId="3" fontId="9" fillId="2" borderId="0" xfId="0" applyNumberFormat="1" applyFont="1" applyFill="1" applyBorder="1" applyAlignment="1">
      <alignment horizontal="right"/>
    </xf>
    <xf numFmtId="3" fontId="11" fillId="2" borderId="3" xfId="0" applyNumberFormat="1" applyFont="1" applyFill="1" applyBorder="1" applyAlignment="1">
      <alignment horizontal="right"/>
    </xf>
    <xf numFmtId="3" fontId="11" fillId="0" borderId="4" xfId="0" applyNumberFormat="1" applyFont="1" applyFill="1" applyBorder="1" applyAlignment="1" applyProtection="1">
      <alignment horizontal="right" vertical="center" wrapText="1"/>
    </xf>
    <xf numFmtId="3" fontId="6" fillId="2" borderId="4" xfId="0" applyNumberFormat="1" applyFont="1" applyFill="1" applyBorder="1" applyAlignment="1">
      <alignment horizontal="right"/>
    </xf>
    <xf numFmtId="3" fontId="11" fillId="2" borderId="4" xfId="0" applyNumberFormat="1" applyFont="1" applyFill="1" applyBorder="1" applyAlignment="1">
      <alignment horizontal="right"/>
    </xf>
    <xf numFmtId="3" fontId="6" fillId="5" borderId="4" xfId="0" applyNumberFormat="1" applyFont="1" applyFill="1" applyBorder="1" applyAlignment="1">
      <alignment horizontal="right"/>
    </xf>
    <xf numFmtId="3" fontId="11" fillId="5" borderId="4" xfId="0" applyNumberFormat="1" applyFont="1" applyFill="1" applyBorder="1" applyAlignment="1">
      <alignment horizontal="right"/>
    </xf>
    <xf numFmtId="3" fontId="3" fillId="6" borderId="4" xfId="0" applyNumberFormat="1" applyFont="1" applyFill="1" applyBorder="1" applyAlignment="1">
      <alignment horizontal="right" vertical="center"/>
    </xf>
    <xf numFmtId="3" fontId="9" fillId="6" borderId="4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3" fontId="19" fillId="7" borderId="3" xfId="0" applyNumberFormat="1" applyFont="1" applyFill="1" applyBorder="1" applyAlignment="1" applyProtection="1">
      <alignment horizontal="center" vertical="center" wrapText="1"/>
    </xf>
    <xf numFmtId="3" fontId="26" fillId="2" borderId="0" xfId="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Font="1"/>
    <xf numFmtId="0" fontId="0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0"/>
  <sheetViews>
    <sheetView zoomScaleNormal="100" zoomScaleSheetLayoutView="100" workbookViewId="0"/>
  </sheetViews>
  <sheetFormatPr defaultColWidth="11.42578125" defaultRowHeight="12.75" x14ac:dyDescent="0.2"/>
  <cols>
    <col min="1" max="1" width="9" style="46" customWidth="1"/>
    <col min="2" max="2" width="4.28515625" style="46" customWidth="1"/>
    <col min="3" max="3" width="5.5703125" style="46" customWidth="1"/>
    <col min="4" max="4" width="5.28515625" style="49" customWidth="1"/>
    <col min="5" max="5" width="44.7109375" style="46" customWidth="1"/>
    <col min="6" max="6" width="15.85546875" style="46" bestFit="1" customWidth="1"/>
    <col min="7" max="7" width="17.28515625" style="46" customWidth="1"/>
    <col min="8" max="8" width="16.7109375" style="46" customWidth="1"/>
    <col min="9" max="9" width="11.42578125" style="46"/>
    <col min="10" max="10" width="16.28515625" style="46" bestFit="1" customWidth="1"/>
    <col min="11" max="11" width="21.7109375" style="46" bestFit="1" customWidth="1"/>
    <col min="12" max="256" width="11.42578125" style="46"/>
    <col min="257" max="258" width="4.28515625" style="46" customWidth="1"/>
    <col min="259" max="259" width="5.5703125" style="46" customWidth="1"/>
    <col min="260" max="260" width="5.28515625" style="46" customWidth="1"/>
    <col min="261" max="261" width="44.7109375" style="46" customWidth="1"/>
    <col min="262" max="262" width="15.85546875" style="46" bestFit="1" customWidth="1"/>
    <col min="263" max="263" width="17.28515625" style="46" customWidth="1"/>
    <col min="264" max="264" width="16.7109375" style="46" customWidth="1"/>
    <col min="265" max="265" width="11.42578125" style="46"/>
    <col min="266" max="266" width="16.28515625" style="46" bestFit="1" customWidth="1"/>
    <col min="267" max="267" width="21.7109375" style="46" bestFit="1" customWidth="1"/>
    <col min="268" max="512" width="11.42578125" style="46"/>
    <col min="513" max="514" width="4.28515625" style="46" customWidth="1"/>
    <col min="515" max="515" width="5.5703125" style="46" customWidth="1"/>
    <col min="516" max="516" width="5.28515625" style="46" customWidth="1"/>
    <col min="517" max="517" width="44.7109375" style="46" customWidth="1"/>
    <col min="518" max="518" width="15.85546875" style="46" bestFit="1" customWidth="1"/>
    <col min="519" max="519" width="17.28515625" style="46" customWidth="1"/>
    <col min="520" max="520" width="16.7109375" style="46" customWidth="1"/>
    <col min="521" max="521" width="11.42578125" style="46"/>
    <col min="522" max="522" width="16.28515625" style="46" bestFit="1" customWidth="1"/>
    <col min="523" max="523" width="21.7109375" style="46" bestFit="1" customWidth="1"/>
    <col min="524" max="768" width="11.42578125" style="46"/>
    <col min="769" max="770" width="4.28515625" style="46" customWidth="1"/>
    <col min="771" max="771" width="5.5703125" style="46" customWidth="1"/>
    <col min="772" max="772" width="5.28515625" style="46" customWidth="1"/>
    <col min="773" max="773" width="44.7109375" style="46" customWidth="1"/>
    <col min="774" max="774" width="15.85546875" style="46" bestFit="1" customWidth="1"/>
    <col min="775" max="775" width="17.28515625" style="46" customWidth="1"/>
    <col min="776" max="776" width="16.7109375" style="46" customWidth="1"/>
    <col min="777" max="777" width="11.42578125" style="46"/>
    <col min="778" max="778" width="16.28515625" style="46" bestFit="1" customWidth="1"/>
    <col min="779" max="779" width="21.7109375" style="46" bestFit="1" customWidth="1"/>
    <col min="780" max="1024" width="11.42578125" style="46"/>
    <col min="1025" max="1026" width="4.28515625" style="46" customWidth="1"/>
    <col min="1027" max="1027" width="5.5703125" style="46" customWidth="1"/>
    <col min="1028" max="1028" width="5.28515625" style="46" customWidth="1"/>
    <col min="1029" max="1029" width="44.7109375" style="46" customWidth="1"/>
    <col min="1030" max="1030" width="15.85546875" style="46" bestFit="1" customWidth="1"/>
    <col min="1031" max="1031" width="17.28515625" style="46" customWidth="1"/>
    <col min="1032" max="1032" width="16.7109375" style="46" customWidth="1"/>
    <col min="1033" max="1033" width="11.42578125" style="46"/>
    <col min="1034" max="1034" width="16.28515625" style="46" bestFit="1" customWidth="1"/>
    <col min="1035" max="1035" width="21.7109375" style="46" bestFit="1" customWidth="1"/>
    <col min="1036" max="1280" width="11.42578125" style="46"/>
    <col min="1281" max="1282" width="4.28515625" style="46" customWidth="1"/>
    <col min="1283" max="1283" width="5.5703125" style="46" customWidth="1"/>
    <col min="1284" max="1284" width="5.28515625" style="46" customWidth="1"/>
    <col min="1285" max="1285" width="44.7109375" style="46" customWidth="1"/>
    <col min="1286" max="1286" width="15.85546875" style="46" bestFit="1" customWidth="1"/>
    <col min="1287" max="1287" width="17.28515625" style="46" customWidth="1"/>
    <col min="1288" max="1288" width="16.7109375" style="46" customWidth="1"/>
    <col min="1289" max="1289" width="11.42578125" style="46"/>
    <col min="1290" max="1290" width="16.28515625" style="46" bestFit="1" customWidth="1"/>
    <col min="1291" max="1291" width="21.7109375" style="46" bestFit="1" customWidth="1"/>
    <col min="1292" max="1536" width="11.42578125" style="46"/>
    <col min="1537" max="1538" width="4.28515625" style="46" customWidth="1"/>
    <col min="1539" max="1539" width="5.5703125" style="46" customWidth="1"/>
    <col min="1540" max="1540" width="5.28515625" style="46" customWidth="1"/>
    <col min="1541" max="1541" width="44.7109375" style="46" customWidth="1"/>
    <col min="1542" max="1542" width="15.85546875" style="46" bestFit="1" customWidth="1"/>
    <col min="1543" max="1543" width="17.28515625" style="46" customWidth="1"/>
    <col min="1544" max="1544" width="16.7109375" style="46" customWidth="1"/>
    <col min="1545" max="1545" width="11.42578125" style="46"/>
    <col min="1546" max="1546" width="16.28515625" style="46" bestFit="1" customWidth="1"/>
    <col min="1547" max="1547" width="21.7109375" style="46" bestFit="1" customWidth="1"/>
    <col min="1548" max="1792" width="11.42578125" style="46"/>
    <col min="1793" max="1794" width="4.28515625" style="46" customWidth="1"/>
    <col min="1795" max="1795" width="5.5703125" style="46" customWidth="1"/>
    <col min="1796" max="1796" width="5.28515625" style="46" customWidth="1"/>
    <col min="1797" max="1797" width="44.7109375" style="46" customWidth="1"/>
    <col min="1798" max="1798" width="15.85546875" style="46" bestFit="1" customWidth="1"/>
    <col min="1799" max="1799" width="17.28515625" style="46" customWidth="1"/>
    <col min="1800" max="1800" width="16.7109375" style="46" customWidth="1"/>
    <col min="1801" max="1801" width="11.42578125" style="46"/>
    <col min="1802" max="1802" width="16.28515625" style="46" bestFit="1" customWidth="1"/>
    <col min="1803" max="1803" width="21.7109375" style="46" bestFit="1" customWidth="1"/>
    <col min="1804" max="2048" width="11.42578125" style="46"/>
    <col min="2049" max="2050" width="4.28515625" style="46" customWidth="1"/>
    <col min="2051" max="2051" width="5.5703125" style="46" customWidth="1"/>
    <col min="2052" max="2052" width="5.28515625" style="46" customWidth="1"/>
    <col min="2053" max="2053" width="44.7109375" style="46" customWidth="1"/>
    <col min="2054" max="2054" width="15.85546875" style="46" bestFit="1" customWidth="1"/>
    <col min="2055" max="2055" width="17.28515625" style="46" customWidth="1"/>
    <col min="2056" max="2056" width="16.7109375" style="46" customWidth="1"/>
    <col min="2057" max="2057" width="11.42578125" style="46"/>
    <col min="2058" max="2058" width="16.28515625" style="46" bestFit="1" customWidth="1"/>
    <col min="2059" max="2059" width="21.7109375" style="46" bestFit="1" customWidth="1"/>
    <col min="2060" max="2304" width="11.42578125" style="46"/>
    <col min="2305" max="2306" width="4.28515625" style="46" customWidth="1"/>
    <col min="2307" max="2307" width="5.5703125" style="46" customWidth="1"/>
    <col min="2308" max="2308" width="5.28515625" style="46" customWidth="1"/>
    <col min="2309" max="2309" width="44.7109375" style="46" customWidth="1"/>
    <col min="2310" max="2310" width="15.85546875" style="46" bestFit="1" customWidth="1"/>
    <col min="2311" max="2311" width="17.28515625" style="46" customWidth="1"/>
    <col min="2312" max="2312" width="16.7109375" style="46" customWidth="1"/>
    <col min="2313" max="2313" width="11.42578125" style="46"/>
    <col min="2314" max="2314" width="16.28515625" style="46" bestFit="1" customWidth="1"/>
    <col min="2315" max="2315" width="21.7109375" style="46" bestFit="1" customWidth="1"/>
    <col min="2316" max="2560" width="11.42578125" style="46"/>
    <col min="2561" max="2562" width="4.28515625" style="46" customWidth="1"/>
    <col min="2563" max="2563" width="5.5703125" style="46" customWidth="1"/>
    <col min="2564" max="2564" width="5.28515625" style="46" customWidth="1"/>
    <col min="2565" max="2565" width="44.7109375" style="46" customWidth="1"/>
    <col min="2566" max="2566" width="15.85546875" style="46" bestFit="1" customWidth="1"/>
    <col min="2567" max="2567" width="17.28515625" style="46" customWidth="1"/>
    <col min="2568" max="2568" width="16.7109375" style="46" customWidth="1"/>
    <col min="2569" max="2569" width="11.42578125" style="46"/>
    <col min="2570" max="2570" width="16.28515625" style="46" bestFit="1" customWidth="1"/>
    <col min="2571" max="2571" width="21.7109375" style="46" bestFit="1" customWidth="1"/>
    <col min="2572" max="2816" width="11.42578125" style="46"/>
    <col min="2817" max="2818" width="4.28515625" style="46" customWidth="1"/>
    <col min="2819" max="2819" width="5.5703125" style="46" customWidth="1"/>
    <col min="2820" max="2820" width="5.28515625" style="46" customWidth="1"/>
    <col min="2821" max="2821" width="44.7109375" style="46" customWidth="1"/>
    <col min="2822" max="2822" width="15.85546875" style="46" bestFit="1" customWidth="1"/>
    <col min="2823" max="2823" width="17.28515625" style="46" customWidth="1"/>
    <col min="2824" max="2824" width="16.7109375" style="46" customWidth="1"/>
    <col min="2825" max="2825" width="11.42578125" style="46"/>
    <col min="2826" max="2826" width="16.28515625" style="46" bestFit="1" customWidth="1"/>
    <col min="2827" max="2827" width="21.7109375" style="46" bestFit="1" customWidth="1"/>
    <col min="2828" max="3072" width="11.42578125" style="46"/>
    <col min="3073" max="3074" width="4.28515625" style="46" customWidth="1"/>
    <col min="3075" max="3075" width="5.5703125" style="46" customWidth="1"/>
    <col min="3076" max="3076" width="5.28515625" style="46" customWidth="1"/>
    <col min="3077" max="3077" width="44.7109375" style="46" customWidth="1"/>
    <col min="3078" max="3078" width="15.85546875" style="46" bestFit="1" customWidth="1"/>
    <col min="3079" max="3079" width="17.28515625" style="46" customWidth="1"/>
    <col min="3080" max="3080" width="16.7109375" style="46" customWidth="1"/>
    <col min="3081" max="3081" width="11.42578125" style="46"/>
    <col min="3082" max="3082" width="16.28515625" style="46" bestFit="1" customWidth="1"/>
    <col min="3083" max="3083" width="21.7109375" style="46" bestFit="1" customWidth="1"/>
    <col min="3084" max="3328" width="11.42578125" style="46"/>
    <col min="3329" max="3330" width="4.28515625" style="46" customWidth="1"/>
    <col min="3331" max="3331" width="5.5703125" style="46" customWidth="1"/>
    <col min="3332" max="3332" width="5.28515625" style="46" customWidth="1"/>
    <col min="3333" max="3333" width="44.7109375" style="46" customWidth="1"/>
    <col min="3334" max="3334" width="15.85546875" style="46" bestFit="1" customWidth="1"/>
    <col min="3335" max="3335" width="17.28515625" style="46" customWidth="1"/>
    <col min="3336" max="3336" width="16.7109375" style="46" customWidth="1"/>
    <col min="3337" max="3337" width="11.42578125" style="46"/>
    <col min="3338" max="3338" width="16.28515625" style="46" bestFit="1" customWidth="1"/>
    <col min="3339" max="3339" width="21.7109375" style="46" bestFit="1" customWidth="1"/>
    <col min="3340" max="3584" width="11.42578125" style="46"/>
    <col min="3585" max="3586" width="4.28515625" style="46" customWidth="1"/>
    <col min="3587" max="3587" width="5.5703125" style="46" customWidth="1"/>
    <col min="3588" max="3588" width="5.28515625" style="46" customWidth="1"/>
    <col min="3589" max="3589" width="44.7109375" style="46" customWidth="1"/>
    <col min="3590" max="3590" width="15.85546875" style="46" bestFit="1" customWidth="1"/>
    <col min="3591" max="3591" width="17.28515625" style="46" customWidth="1"/>
    <col min="3592" max="3592" width="16.7109375" style="46" customWidth="1"/>
    <col min="3593" max="3593" width="11.42578125" style="46"/>
    <col min="3594" max="3594" width="16.28515625" style="46" bestFit="1" customWidth="1"/>
    <col min="3595" max="3595" width="21.7109375" style="46" bestFit="1" customWidth="1"/>
    <col min="3596" max="3840" width="11.42578125" style="46"/>
    <col min="3841" max="3842" width="4.28515625" style="46" customWidth="1"/>
    <col min="3843" max="3843" width="5.5703125" style="46" customWidth="1"/>
    <col min="3844" max="3844" width="5.28515625" style="46" customWidth="1"/>
    <col min="3845" max="3845" width="44.7109375" style="46" customWidth="1"/>
    <col min="3846" max="3846" width="15.85546875" style="46" bestFit="1" customWidth="1"/>
    <col min="3847" max="3847" width="17.28515625" style="46" customWidth="1"/>
    <col min="3848" max="3848" width="16.7109375" style="46" customWidth="1"/>
    <col min="3849" max="3849" width="11.42578125" style="46"/>
    <col min="3850" max="3850" width="16.28515625" style="46" bestFit="1" customWidth="1"/>
    <col min="3851" max="3851" width="21.7109375" style="46" bestFit="1" customWidth="1"/>
    <col min="3852" max="4096" width="11.42578125" style="46"/>
    <col min="4097" max="4098" width="4.28515625" style="46" customWidth="1"/>
    <col min="4099" max="4099" width="5.5703125" style="46" customWidth="1"/>
    <col min="4100" max="4100" width="5.28515625" style="46" customWidth="1"/>
    <col min="4101" max="4101" width="44.7109375" style="46" customWidth="1"/>
    <col min="4102" max="4102" width="15.85546875" style="46" bestFit="1" customWidth="1"/>
    <col min="4103" max="4103" width="17.28515625" style="46" customWidth="1"/>
    <col min="4104" max="4104" width="16.7109375" style="46" customWidth="1"/>
    <col min="4105" max="4105" width="11.42578125" style="46"/>
    <col min="4106" max="4106" width="16.28515625" style="46" bestFit="1" customWidth="1"/>
    <col min="4107" max="4107" width="21.7109375" style="46" bestFit="1" customWidth="1"/>
    <col min="4108" max="4352" width="11.42578125" style="46"/>
    <col min="4353" max="4354" width="4.28515625" style="46" customWidth="1"/>
    <col min="4355" max="4355" width="5.5703125" style="46" customWidth="1"/>
    <col min="4356" max="4356" width="5.28515625" style="46" customWidth="1"/>
    <col min="4357" max="4357" width="44.7109375" style="46" customWidth="1"/>
    <col min="4358" max="4358" width="15.85546875" style="46" bestFit="1" customWidth="1"/>
    <col min="4359" max="4359" width="17.28515625" style="46" customWidth="1"/>
    <col min="4360" max="4360" width="16.7109375" style="46" customWidth="1"/>
    <col min="4361" max="4361" width="11.42578125" style="46"/>
    <col min="4362" max="4362" width="16.28515625" style="46" bestFit="1" customWidth="1"/>
    <col min="4363" max="4363" width="21.7109375" style="46" bestFit="1" customWidth="1"/>
    <col min="4364" max="4608" width="11.42578125" style="46"/>
    <col min="4609" max="4610" width="4.28515625" style="46" customWidth="1"/>
    <col min="4611" max="4611" width="5.5703125" style="46" customWidth="1"/>
    <col min="4612" max="4612" width="5.28515625" style="46" customWidth="1"/>
    <col min="4613" max="4613" width="44.7109375" style="46" customWidth="1"/>
    <col min="4614" max="4614" width="15.85546875" style="46" bestFit="1" customWidth="1"/>
    <col min="4615" max="4615" width="17.28515625" style="46" customWidth="1"/>
    <col min="4616" max="4616" width="16.7109375" style="46" customWidth="1"/>
    <col min="4617" max="4617" width="11.42578125" style="46"/>
    <col min="4618" max="4618" width="16.28515625" style="46" bestFit="1" customWidth="1"/>
    <col min="4619" max="4619" width="21.7109375" style="46" bestFit="1" customWidth="1"/>
    <col min="4620" max="4864" width="11.42578125" style="46"/>
    <col min="4865" max="4866" width="4.28515625" style="46" customWidth="1"/>
    <col min="4867" max="4867" width="5.5703125" style="46" customWidth="1"/>
    <col min="4868" max="4868" width="5.28515625" style="46" customWidth="1"/>
    <col min="4869" max="4869" width="44.7109375" style="46" customWidth="1"/>
    <col min="4870" max="4870" width="15.85546875" style="46" bestFit="1" customWidth="1"/>
    <col min="4871" max="4871" width="17.28515625" style="46" customWidth="1"/>
    <col min="4872" max="4872" width="16.7109375" style="46" customWidth="1"/>
    <col min="4873" max="4873" width="11.42578125" style="46"/>
    <col min="4874" max="4874" width="16.28515625" style="46" bestFit="1" customWidth="1"/>
    <col min="4875" max="4875" width="21.7109375" style="46" bestFit="1" customWidth="1"/>
    <col min="4876" max="5120" width="11.42578125" style="46"/>
    <col min="5121" max="5122" width="4.28515625" style="46" customWidth="1"/>
    <col min="5123" max="5123" width="5.5703125" style="46" customWidth="1"/>
    <col min="5124" max="5124" width="5.28515625" style="46" customWidth="1"/>
    <col min="5125" max="5125" width="44.7109375" style="46" customWidth="1"/>
    <col min="5126" max="5126" width="15.85546875" style="46" bestFit="1" customWidth="1"/>
    <col min="5127" max="5127" width="17.28515625" style="46" customWidth="1"/>
    <col min="5128" max="5128" width="16.7109375" style="46" customWidth="1"/>
    <col min="5129" max="5129" width="11.42578125" style="46"/>
    <col min="5130" max="5130" width="16.28515625" style="46" bestFit="1" customWidth="1"/>
    <col min="5131" max="5131" width="21.7109375" style="46" bestFit="1" customWidth="1"/>
    <col min="5132" max="5376" width="11.42578125" style="46"/>
    <col min="5377" max="5378" width="4.28515625" style="46" customWidth="1"/>
    <col min="5379" max="5379" width="5.5703125" style="46" customWidth="1"/>
    <col min="5380" max="5380" width="5.28515625" style="46" customWidth="1"/>
    <col min="5381" max="5381" width="44.7109375" style="46" customWidth="1"/>
    <col min="5382" max="5382" width="15.85546875" style="46" bestFit="1" customWidth="1"/>
    <col min="5383" max="5383" width="17.28515625" style="46" customWidth="1"/>
    <col min="5384" max="5384" width="16.7109375" style="46" customWidth="1"/>
    <col min="5385" max="5385" width="11.42578125" style="46"/>
    <col min="5386" max="5386" width="16.28515625" style="46" bestFit="1" customWidth="1"/>
    <col min="5387" max="5387" width="21.7109375" style="46" bestFit="1" customWidth="1"/>
    <col min="5388" max="5632" width="11.42578125" style="46"/>
    <col min="5633" max="5634" width="4.28515625" style="46" customWidth="1"/>
    <col min="5635" max="5635" width="5.5703125" style="46" customWidth="1"/>
    <col min="5636" max="5636" width="5.28515625" style="46" customWidth="1"/>
    <col min="5637" max="5637" width="44.7109375" style="46" customWidth="1"/>
    <col min="5638" max="5638" width="15.85546875" style="46" bestFit="1" customWidth="1"/>
    <col min="5639" max="5639" width="17.28515625" style="46" customWidth="1"/>
    <col min="5640" max="5640" width="16.7109375" style="46" customWidth="1"/>
    <col min="5641" max="5641" width="11.42578125" style="46"/>
    <col min="5642" max="5642" width="16.28515625" style="46" bestFit="1" customWidth="1"/>
    <col min="5643" max="5643" width="21.7109375" style="46" bestFit="1" customWidth="1"/>
    <col min="5644" max="5888" width="11.42578125" style="46"/>
    <col min="5889" max="5890" width="4.28515625" style="46" customWidth="1"/>
    <col min="5891" max="5891" width="5.5703125" style="46" customWidth="1"/>
    <col min="5892" max="5892" width="5.28515625" style="46" customWidth="1"/>
    <col min="5893" max="5893" width="44.7109375" style="46" customWidth="1"/>
    <col min="5894" max="5894" width="15.85546875" style="46" bestFit="1" customWidth="1"/>
    <col min="5895" max="5895" width="17.28515625" style="46" customWidth="1"/>
    <col min="5896" max="5896" width="16.7109375" style="46" customWidth="1"/>
    <col min="5897" max="5897" width="11.42578125" style="46"/>
    <col min="5898" max="5898" width="16.28515625" style="46" bestFit="1" customWidth="1"/>
    <col min="5899" max="5899" width="21.7109375" style="46" bestFit="1" customWidth="1"/>
    <col min="5900" max="6144" width="11.42578125" style="46"/>
    <col min="6145" max="6146" width="4.28515625" style="46" customWidth="1"/>
    <col min="6147" max="6147" width="5.5703125" style="46" customWidth="1"/>
    <col min="6148" max="6148" width="5.28515625" style="46" customWidth="1"/>
    <col min="6149" max="6149" width="44.7109375" style="46" customWidth="1"/>
    <col min="6150" max="6150" width="15.85546875" style="46" bestFit="1" customWidth="1"/>
    <col min="6151" max="6151" width="17.28515625" style="46" customWidth="1"/>
    <col min="6152" max="6152" width="16.7109375" style="46" customWidth="1"/>
    <col min="6153" max="6153" width="11.42578125" style="46"/>
    <col min="6154" max="6154" width="16.28515625" style="46" bestFit="1" customWidth="1"/>
    <col min="6155" max="6155" width="21.7109375" style="46" bestFit="1" customWidth="1"/>
    <col min="6156" max="6400" width="11.42578125" style="46"/>
    <col min="6401" max="6402" width="4.28515625" style="46" customWidth="1"/>
    <col min="6403" max="6403" width="5.5703125" style="46" customWidth="1"/>
    <col min="6404" max="6404" width="5.28515625" style="46" customWidth="1"/>
    <col min="6405" max="6405" width="44.7109375" style="46" customWidth="1"/>
    <col min="6406" max="6406" width="15.85546875" style="46" bestFit="1" customWidth="1"/>
    <col min="6407" max="6407" width="17.28515625" style="46" customWidth="1"/>
    <col min="6408" max="6408" width="16.7109375" style="46" customWidth="1"/>
    <col min="6409" max="6409" width="11.42578125" style="46"/>
    <col min="6410" max="6410" width="16.28515625" style="46" bestFit="1" customWidth="1"/>
    <col min="6411" max="6411" width="21.7109375" style="46" bestFit="1" customWidth="1"/>
    <col min="6412" max="6656" width="11.42578125" style="46"/>
    <col min="6657" max="6658" width="4.28515625" style="46" customWidth="1"/>
    <col min="6659" max="6659" width="5.5703125" style="46" customWidth="1"/>
    <col min="6660" max="6660" width="5.28515625" style="46" customWidth="1"/>
    <col min="6661" max="6661" width="44.7109375" style="46" customWidth="1"/>
    <col min="6662" max="6662" width="15.85546875" style="46" bestFit="1" customWidth="1"/>
    <col min="6663" max="6663" width="17.28515625" style="46" customWidth="1"/>
    <col min="6664" max="6664" width="16.7109375" style="46" customWidth="1"/>
    <col min="6665" max="6665" width="11.42578125" style="46"/>
    <col min="6666" max="6666" width="16.28515625" style="46" bestFit="1" customWidth="1"/>
    <col min="6667" max="6667" width="21.7109375" style="46" bestFit="1" customWidth="1"/>
    <col min="6668" max="6912" width="11.42578125" style="46"/>
    <col min="6913" max="6914" width="4.28515625" style="46" customWidth="1"/>
    <col min="6915" max="6915" width="5.5703125" style="46" customWidth="1"/>
    <col min="6916" max="6916" width="5.28515625" style="46" customWidth="1"/>
    <col min="6917" max="6917" width="44.7109375" style="46" customWidth="1"/>
    <col min="6918" max="6918" width="15.85546875" style="46" bestFit="1" customWidth="1"/>
    <col min="6919" max="6919" width="17.28515625" style="46" customWidth="1"/>
    <col min="6920" max="6920" width="16.7109375" style="46" customWidth="1"/>
    <col min="6921" max="6921" width="11.42578125" style="46"/>
    <col min="6922" max="6922" width="16.28515625" style="46" bestFit="1" customWidth="1"/>
    <col min="6923" max="6923" width="21.7109375" style="46" bestFit="1" customWidth="1"/>
    <col min="6924" max="7168" width="11.42578125" style="46"/>
    <col min="7169" max="7170" width="4.28515625" style="46" customWidth="1"/>
    <col min="7171" max="7171" width="5.5703125" style="46" customWidth="1"/>
    <col min="7172" max="7172" width="5.28515625" style="46" customWidth="1"/>
    <col min="7173" max="7173" width="44.7109375" style="46" customWidth="1"/>
    <col min="7174" max="7174" width="15.85546875" style="46" bestFit="1" customWidth="1"/>
    <col min="7175" max="7175" width="17.28515625" style="46" customWidth="1"/>
    <col min="7176" max="7176" width="16.7109375" style="46" customWidth="1"/>
    <col min="7177" max="7177" width="11.42578125" style="46"/>
    <col min="7178" max="7178" width="16.28515625" style="46" bestFit="1" customWidth="1"/>
    <col min="7179" max="7179" width="21.7109375" style="46" bestFit="1" customWidth="1"/>
    <col min="7180" max="7424" width="11.42578125" style="46"/>
    <col min="7425" max="7426" width="4.28515625" style="46" customWidth="1"/>
    <col min="7427" max="7427" width="5.5703125" style="46" customWidth="1"/>
    <col min="7428" max="7428" width="5.28515625" style="46" customWidth="1"/>
    <col min="7429" max="7429" width="44.7109375" style="46" customWidth="1"/>
    <col min="7430" max="7430" width="15.85546875" style="46" bestFit="1" customWidth="1"/>
    <col min="7431" max="7431" width="17.28515625" style="46" customWidth="1"/>
    <col min="7432" max="7432" width="16.7109375" style="46" customWidth="1"/>
    <col min="7433" max="7433" width="11.42578125" style="46"/>
    <col min="7434" max="7434" width="16.28515625" style="46" bestFit="1" customWidth="1"/>
    <col min="7435" max="7435" width="21.7109375" style="46" bestFit="1" customWidth="1"/>
    <col min="7436" max="7680" width="11.42578125" style="46"/>
    <col min="7681" max="7682" width="4.28515625" style="46" customWidth="1"/>
    <col min="7683" max="7683" width="5.5703125" style="46" customWidth="1"/>
    <col min="7684" max="7684" width="5.28515625" style="46" customWidth="1"/>
    <col min="7685" max="7685" width="44.7109375" style="46" customWidth="1"/>
    <col min="7686" max="7686" width="15.85546875" style="46" bestFit="1" customWidth="1"/>
    <col min="7687" max="7687" width="17.28515625" style="46" customWidth="1"/>
    <col min="7688" max="7688" width="16.7109375" style="46" customWidth="1"/>
    <col min="7689" max="7689" width="11.42578125" style="46"/>
    <col min="7690" max="7690" width="16.28515625" style="46" bestFit="1" customWidth="1"/>
    <col min="7691" max="7691" width="21.7109375" style="46" bestFit="1" customWidth="1"/>
    <col min="7692" max="7936" width="11.42578125" style="46"/>
    <col min="7937" max="7938" width="4.28515625" style="46" customWidth="1"/>
    <col min="7939" max="7939" width="5.5703125" style="46" customWidth="1"/>
    <col min="7940" max="7940" width="5.28515625" style="46" customWidth="1"/>
    <col min="7941" max="7941" width="44.7109375" style="46" customWidth="1"/>
    <col min="7942" max="7942" width="15.85546875" style="46" bestFit="1" customWidth="1"/>
    <col min="7943" max="7943" width="17.28515625" style="46" customWidth="1"/>
    <col min="7944" max="7944" width="16.7109375" style="46" customWidth="1"/>
    <col min="7945" max="7945" width="11.42578125" style="46"/>
    <col min="7946" max="7946" width="16.28515625" style="46" bestFit="1" customWidth="1"/>
    <col min="7947" max="7947" width="21.7109375" style="46" bestFit="1" customWidth="1"/>
    <col min="7948" max="8192" width="11.42578125" style="46"/>
    <col min="8193" max="8194" width="4.28515625" style="46" customWidth="1"/>
    <col min="8195" max="8195" width="5.5703125" style="46" customWidth="1"/>
    <col min="8196" max="8196" width="5.28515625" style="46" customWidth="1"/>
    <col min="8197" max="8197" width="44.7109375" style="46" customWidth="1"/>
    <col min="8198" max="8198" width="15.85546875" style="46" bestFit="1" customWidth="1"/>
    <col min="8199" max="8199" width="17.28515625" style="46" customWidth="1"/>
    <col min="8200" max="8200" width="16.7109375" style="46" customWidth="1"/>
    <col min="8201" max="8201" width="11.42578125" style="46"/>
    <col min="8202" max="8202" width="16.28515625" style="46" bestFit="1" customWidth="1"/>
    <col min="8203" max="8203" width="21.7109375" style="46" bestFit="1" customWidth="1"/>
    <col min="8204" max="8448" width="11.42578125" style="46"/>
    <col min="8449" max="8450" width="4.28515625" style="46" customWidth="1"/>
    <col min="8451" max="8451" width="5.5703125" style="46" customWidth="1"/>
    <col min="8452" max="8452" width="5.28515625" style="46" customWidth="1"/>
    <col min="8453" max="8453" width="44.7109375" style="46" customWidth="1"/>
    <col min="8454" max="8454" width="15.85546875" style="46" bestFit="1" customWidth="1"/>
    <col min="8455" max="8455" width="17.28515625" style="46" customWidth="1"/>
    <col min="8456" max="8456" width="16.7109375" style="46" customWidth="1"/>
    <col min="8457" max="8457" width="11.42578125" style="46"/>
    <col min="8458" max="8458" width="16.28515625" style="46" bestFit="1" customWidth="1"/>
    <col min="8459" max="8459" width="21.7109375" style="46" bestFit="1" customWidth="1"/>
    <col min="8460" max="8704" width="11.42578125" style="46"/>
    <col min="8705" max="8706" width="4.28515625" style="46" customWidth="1"/>
    <col min="8707" max="8707" width="5.5703125" style="46" customWidth="1"/>
    <col min="8708" max="8708" width="5.28515625" style="46" customWidth="1"/>
    <col min="8709" max="8709" width="44.7109375" style="46" customWidth="1"/>
    <col min="8710" max="8710" width="15.85546875" style="46" bestFit="1" customWidth="1"/>
    <col min="8711" max="8711" width="17.28515625" style="46" customWidth="1"/>
    <col min="8712" max="8712" width="16.7109375" style="46" customWidth="1"/>
    <col min="8713" max="8713" width="11.42578125" style="46"/>
    <col min="8714" max="8714" width="16.28515625" style="46" bestFit="1" customWidth="1"/>
    <col min="8715" max="8715" width="21.7109375" style="46" bestFit="1" customWidth="1"/>
    <col min="8716" max="8960" width="11.42578125" style="46"/>
    <col min="8961" max="8962" width="4.28515625" style="46" customWidth="1"/>
    <col min="8963" max="8963" width="5.5703125" style="46" customWidth="1"/>
    <col min="8964" max="8964" width="5.28515625" style="46" customWidth="1"/>
    <col min="8965" max="8965" width="44.7109375" style="46" customWidth="1"/>
    <col min="8966" max="8966" width="15.85546875" style="46" bestFit="1" customWidth="1"/>
    <col min="8967" max="8967" width="17.28515625" style="46" customWidth="1"/>
    <col min="8968" max="8968" width="16.7109375" style="46" customWidth="1"/>
    <col min="8969" max="8969" width="11.42578125" style="46"/>
    <col min="8970" max="8970" width="16.28515625" style="46" bestFit="1" customWidth="1"/>
    <col min="8971" max="8971" width="21.7109375" style="46" bestFit="1" customWidth="1"/>
    <col min="8972" max="9216" width="11.42578125" style="46"/>
    <col min="9217" max="9218" width="4.28515625" style="46" customWidth="1"/>
    <col min="9219" max="9219" width="5.5703125" style="46" customWidth="1"/>
    <col min="9220" max="9220" width="5.28515625" style="46" customWidth="1"/>
    <col min="9221" max="9221" width="44.7109375" style="46" customWidth="1"/>
    <col min="9222" max="9222" width="15.85546875" style="46" bestFit="1" customWidth="1"/>
    <col min="9223" max="9223" width="17.28515625" style="46" customWidth="1"/>
    <col min="9224" max="9224" width="16.7109375" style="46" customWidth="1"/>
    <col min="9225" max="9225" width="11.42578125" style="46"/>
    <col min="9226" max="9226" width="16.28515625" style="46" bestFit="1" customWidth="1"/>
    <col min="9227" max="9227" width="21.7109375" style="46" bestFit="1" customWidth="1"/>
    <col min="9228" max="9472" width="11.42578125" style="46"/>
    <col min="9473" max="9474" width="4.28515625" style="46" customWidth="1"/>
    <col min="9475" max="9475" width="5.5703125" style="46" customWidth="1"/>
    <col min="9476" max="9476" width="5.28515625" style="46" customWidth="1"/>
    <col min="9477" max="9477" width="44.7109375" style="46" customWidth="1"/>
    <col min="9478" max="9478" width="15.85546875" style="46" bestFit="1" customWidth="1"/>
    <col min="9479" max="9479" width="17.28515625" style="46" customWidth="1"/>
    <col min="9480" max="9480" width="16.7109375" style="46" customWidth="1"/>
    <col min="9481" max="9481" width="11.42578125" style="46"/>
    <col min="9482" max="9482" width="16.28515625" style="46" bestFit="1" customWidth="1"/>
    <col min="9483" max="9483" width="21.7109375" style="46" bestFit="1" customWidth="1"/>
    <col min="9484" max="9728" width="11.42578125" style="46"/>
    <col min="9729" max="9730" width="4.28515625" style="46" customWidth="1"/>
    <col min="9731" max="9731" width="5.5703125" style="46" customWidth="1"/>
    <col min="9732" max="9732" width="5.28515625" style="46" customWidth="1"/>
    <col min="9733" max="9733" width="44.7109375" style="46" customWidth="1"/>
    <col min="9734" max="9734" width="15.85546875" style="46" bestFit="1" customWidth="1"/>
    <col min="9735" max="9735" width="17.28515625" style="46" customWidth="1"/>
    <col min="9736" max="9736" width="16.7109375" style="46" customWidth="1"/>
    <col min="9737" max="9737" width="11.42578125" style="46"/>
    <col min="9738" max="9738" width="16.28515625" style="46" bestFit="1" customWidth="1"/>
    <col min="9739" max="9739" width="21.7109375" style="46" bestFit="1" customWidth="1"/>
    <col min="9740" max="9984" width="11.42578125" style="46"/>
    <col min="9985" max="9986" width="4.28515625" style="46" customWidth="1"/>
    <col min="9987" max="9987" width="5.5703125" style="46" customWidth="1"/>
    <col min="9988" max="9988" width="5.28515625" style="46" customWidth="1"/>
    <col min="9989" max="9989" width="44.7109375" style="46" customWidth="1"/>
    <col min="9990" max="9990" width="15.85546875" style="46" bestFit="1" customWidth="1"/>
    <col min="9991" max="9991" width="17.28515625" style="46" customWidth="1"/>
    <col min="9992" max="9992" width="16.7109375" style="46" customWidth="1"/>
    <col min="9993" max="9993" width="11.42578125" style="46"/>
    <col min="9994" max="9994" width="16.28515625" style="46" bestFit="1" customWidth="1"/>
    <col min="9995" max="9995" width="21.7109375" style="46" bestFit="1" customWidth="1"/>
    <col min="9996" max="10240" width="11.42578125" style="46"/>
    <col min="10241" max="10242" width="4.28515625" style="46" customWidth="1"/>
    <col min="10243" max="10243" width="5.5703125" style="46" customWidth="1"/>
    <col min="10244" max="10244" width="5.28515625" style="46" customWidth="1"/>
    <col min="10245" max="10245" width="44.7109375" style="46" customWidth="1"/>
    <col min="10246" max="10246" width="15.85546875" style="46" bestFit="1" customWidth="1"/>
    <col min="10247" max="10247" width="17.28515625" style="46" customWidth="1"/>
    <col min="10248" max="10248" width="16.7109375" style="46" customWidth="1"/>
    <col min="10249" max="10249" width="11.42578125" style="46"/>
    <col min="10250" max="10250" width="16.28515625" style="46" bestFit="1" customWidth="1"/>
    <col min="10251" max="10251" width="21.7109375" style="46" bestFit="1" customWidth="1"/>
    <col min="10252" max="10496" width="11.42578125" style="46"/>
    <col min="10497" max="10498" width="4.28515625" style="46" customWidth="1"/>
    <col min="10499" max="10499" width="5.5703125" style="46" customWidth="1"/>
    <col min="10500" max="10500" width="5.28515625" style="46" customWidth="1"/>
    <col min="10501" max="10501" width="44.7109375" style="46" customWidth="1"/>
    <col min="10502" max="10502" width="15.85546875" style="46" bestFit="1" customWidth="1"/>
    <col min="10503" max="10503" width="17.28515625" style="46" customWidth="1"/>
    <col min="10504" max="10504" width="16.7109375" style="46" customWidth="1"/>
    <col min="10505" max="10505" width="11.42578125" style="46"/>
    <col min="10506" max="10506" width="16.28515625" style="46" bestFit="1" customWidth="1"/>
    <col min="10507" max="10507" width="21.7109375" style="46" bestFit="1" customWidth="1"/>
    <col min="10508" max="10752" width="11.42578125" style="46"/>
    <col min="10753" max="10754" width="4.28515625" style="46" customWidth="1"/>
    <col min="10755" max="10755" width="5.5703125" style="46" customWidth="1"/>
    <col min="10756" max="10756" width="5.28515625" style="46" customWidth="1"/>
    <col min="10757" max="10757" width="44.7109375" style="46" customWidth="1"/>
    <col min="10758" max="10758" width="15.85546875" style="46" bestFit="1" customWidth="1"/>
    <col min="10759" max="10759" width="17.28515625" style="46" customWidth="1"/>
    <col min="10760" max="10760" width="16.7109375" style="46" customWidth="1"/>
    <col min="10761" max="10761" width="11.42578125" style="46"/>
    <col min="10762" max="10762" width="16.28515625" style="46" bestFit="1" customWidth="1"/>
    <col min="10763" max="10763" width="21.7109375" style="46" bestFit="1" customWidth="1"/>
    <col min="10764" max="11008" width="11.42578125" style="46"/>
    <col min="11009" max="11010" width="4.28515625" style="46" customWidth="1"/>
    <col min="11011" max="11011" width="5.5703125" style="46" customWidth="1"/>
    <col min="11012" max="11012" width="5.28515625" style="46" customWidth="1"/>
    <col min="11013" max="11013" width="44.7109375" style="46" customWidth="1"/>
    <col min="11014" max="11014" width="15.85546875" style="46" bestFit="1" customWidth="1"/>
    <col min="11015" max="11015" width="17.28515625" style="46" customWidth="1"/>
    <col min="11016" max="11016" width="16.7109375" style="46" customWidth="1"/>
    <col min="11017" max="11017" width="11.42578125" style="46"/>
    <col min="11018" max="11018" width="16.28515625" style="46" bestFit="1" customWidth="1"/>
    <col min="11019" max="11019" width="21.7109375" style="46" bestFit="1" customWidth="1"/>
    <col min="11020" max="11264" width="11.42578125" style="46"/>
    <col min="11265" max="11266" width="4.28515625" style="46" customWidth="1"/>
    <col min="11267" max="11267" width="5.5703125" style="46" customWidth="1"/>
    <col min="11268" max="11268" width="5.28515625" style="46" customWidth="1"/>
    <col min="11269" max="11269" width="44.7109375" style="46" customWidth="1"/>
    <col min="11270" max="11270" width="15.85546875" style="46" bestFit="1" customWidth="1"/>
    <col min="11271" max="11271" width="17.28515625" style="46" customWidth="1"/>
    <col min="11272" max="11272" width="16.7109375" style="46" customWidth="1"/>
    <col min="11273" max="11273" width="11.42578125" style="46"/>
    <col min="11274" max="11274" width="16.28515625" style="46" bestFit="1" customWidth="1"/>
    <col min="11275" max="11275" width="21.7109375" style="46" bestFit="1" customWidth="1"/>
    <col min="11276" max="11520" width="11.42578125" style="46"/>
    <col min="11521" max="11522" width="4.28515625" style="46" customWidth="1"/>
    <col min="11523" max="11523" width="5.5703125" style="46" customWidth="1"/>
    <col min="11524" max="11524" width="5.28515625" style="46" customWidth="1"/>
    <col min="11525" max="11525" width="44.7109375" style="46" customWidth="1"/>
    <col min="11526" max="11526" width="15.85546875" style="46" bestFit="1" customWidth="1"/>
    <col min="11527" max="11527" width="17.28515625" style="46" customWidth="1"/>
    <col min="11528" max="11528" width="16.7109375" style="46" customWidth="1"/>
    <col min="11529" max="11529" width="11.42578125" style="46"/>
    <col min="11530" max="11530" width="16.28515625" style="46" bestFit="1" customWidth="1"/>
    <col min="11531" max="11531" width="21.7109375" style="46" bestFit="1" customWidth="1"/>
    <col min="11532" max="11776" width="11.42578125" style="46"/>
    <col min="11777" max="11778" width="4.28515625" style="46" customWidth="1"/>
    <col min="11779" max="11779" width="5.5703125" style="46" customWidth="1"/>
    <col min="11780" max="11780" width="5.28515625" style="46" customWidth="1"/>
    <col min="11781" max="11781" width="44.7109375" style="46" customWidth="1"/>
    <col min="11782" max="11782" width="15.85546875" style="46" bestFit="1" customWidth="1"/>
    <col min="11783" max="11783" width="17.28515625" style="46" customWidth="1"/>
    <col min="11784" max="11784" width="16.7109375" style="46" customWidth="1"/>
    <col min="11785" max="11785" width="11.42578125" style="46"/>
    <col min="11786" max="11786" width="16.28515625" style="46" bestFit="1" customWidth="1"/>
    <col min="11787" max="11787" width="21.7109375" style="46" bestFit="1" customWidth="1"/>
    <col min="11788" max="12032" width="11.42578125" style="46"/>
    <col min="12033" max="12034" width="4.28515625" style="46" customWidth="1"/>
    <col min="12035" max="12035" width="5.5703125" style="46" customWidth="1"/>
    <col min="12036" max="12036" width="5.28515625" style="46" customWidth="1"/>
    <col min="12037" max="12037" width="44.7109375" style="46" customWidth="1"/>
    <col min="12038" max="12038" width="15.85546875" style="46" bestFit="1" customWidth="1"/>
    <col min="12039" max="12039" width="17.28515625" style="46" customWidth="1"/>
    <col min="12040" max="12040" width="16.7109375" style="46" customWidth="1"/>
    <col min="12041" max="12041" width="11.42578125" style="46"/>
    <col min="12042" max="12042" width="16.28515625" style="46" bestFit="1" customWidth="1"/>
    <col min="12043" max="12043" width="21.7109375" style="46" bestFit="1" customWidth="1"/>
    <col min="12044" max="12288" width="11.42578125" style="46"/>
    <col min="12289" max="12290" width="4.28515625" style="46" customWidth="1"/>
    <col min="12291" max="12291" width="5.5703125" style="46" customWidth="1"/>
    <col min="12292" max="12292" width="5.28515625" style="46" customWidth="1"/>
    <col min="12293" max="12293" width="44.7109375" style="46" customWidth="1"/>
    <col min="12294" max="12294" width="15.85546875" style="46" bestFit="1" customWidth="1"/>
    <col min="12295" max="12295" width="17.28515625" style="46" customWidth="1"/>
    <col min="12296" max="12296" width="16.7109375" style="46" customWidth="1"/>
    <col min="12297" max="12297" width="11.42578125" style="46"/>
    <col min="12298" max="12298" width="16.28515625" style="46" bestFit="1" customWidth="1"/>
    <col min="12299" max="12299" width="21.7109375" style="46" bestFit="1" customWidth="1"/>
    <col min="12300" max="12544" width="11.42578125" style="46"/>
    <col min="12545" max="12546" width="4.28515625" style="46" customWidth="1"/>
    <col min="12547" max="12547" width="5.5703125" style="46" customWidth="1"/>
    <col min="12548" max="12548" width="5.28515625" style="46" customWidth="1"/>
    <col min="12549" max="12549" width="44.7109375" style="46" customWidth="1"/>
    <col min="12550" max="12550" width="15.85546875" style="46" bestFit="1" customWidth="1"/>
    <col min="12551" max="12551" width="17.28515625" style="46" customWidth="1"/>
    <col min="12552" max="12552" width="16.7109375" style="46" customWidth="1"/>
    <col min="12553" max="12553" width="11.42578125" style="46"/>
    <col min="12554" max="12554" width="16.28515625" style="46" bestFit="1" customWidth="1"/>
    <col min="12555" max="12555" width="21.7109375" style="46" bestFit="1" customWidth="1"/>
    <col min="12556" max="12800" width="11.42578125" style="46"/>
    <col min="12801" max="12802" width="4.28515625" style="46" customWidth="1"/>
    <col min="12803" max="12803" width="5.5703125" style="46" customWidth="1"/>
    <col min="12804" max="12804" width="5.28515625" style="46" customWidth="1"/>
    <col min="12805" max="12805" width="44.7109375" style="46" customWidth="1"/>
    <col min="12806" max="12806" width="15.85546875" style="46" bestFit="1" customWidth="1"/>
    <col min="12807" max="12807" width="17.28515625" style="46" customWidth="1"/>
    <col min="12808" max="12808" width="16.7109375" style="46" customWidth="1"/>
    <col min="12809" max="12809" width="11.42578125" style="46"/>
    <col min="12810" max="12810" width="16.28515625" style="46" bestFit="1" customWidth="1"/>
    <col min="12811" max="12811" width="21.7109375" style="46" bestFit="1" customWidth="1"/>
    <col min="12812" max="13056" width="11.42578125" style="46"/>
    <col min="13057" max="13058" width="4.28515625" style="46" customWidth="1"/>
    <col min="13059" max="13059" width="5.5703125" style="46" customWidth="1"/>
    <col min="13060" max="13060" width="5.28515625" style="46" customWidth="1"/>
    <col min="13061" max="13061" width="44.7109375" style="46" customWidth="1"/>
    <col min="13062" max="13062" width="15.85546875" style="46" bestFit="1" customWidth="1"/>
    <col min="13063" max="13063" width="17.28515625" style="46" customWidth="1"/>
    <col min="13064" max="13064" width="16.7109375" style="46" customWidth="1"/>
    <col min="13065" max="13065" width="11.42578125" style="46"/>
    <col min="13066" max="13066" width="16.28515625" style="46" bestFit="1" customWidth="1"/>
    <col min="13067" max="13067" width="21.7109375" style="46" bestFit="1" customWidth="1"/>
    <col min="13068" max="13312" width="11.42578125" style="46"/>
    <col min="13313" max="13314" width="4.28515625" style="46" customWidth="1"/>
    <col min="13315" max="13315" width="5.5703125" style="46" customWidth="1"/>
    <col min="13316" max="13316" width="5.28515625" style="46" customWidth="1"/>
    <col min="13317" max="13317" width="44.7109375" style="46" customWidth="1"/>
    <col min="13318" max="13318" width="15.85546875" style="46" bestFit="1" customWidth="1"/>
    <col min="13319" max="13319" width="17.28515625" style="46" customWidth="1"/>
    <col min="13320" max="13320" width="16.7109375" style="46" customWidth="1"/>
    <col min="13321" max="13321" width="11.42578125" style="46"/>
    <col min="13322" max="13322" width="16.28515625" style="46" bestFit="1" customWidth="1"/>
    <col min="13323" max="13323" width="21.7109375" style="46" bestFit="1" customWidth="1"/>
    <col min="13324" max="13568" width="11.42578125" style="46"/>
    <col min="13569" max="13570" width="4.28515625" style="46" customWidth="1"/>
    <col min="13571" max="13571" width="5.5703125" style="46" customWidth="1"/>
    <col min="13572" max="13572" width="5.28515625" style="46" customWidth="1"/>
    <col min="13573" max="13573" width="44.7109375" style="46" customWidth="1"/>
    <col min="13574" max="13574" width="15.85546875" style="46" bestFit="1" customWidth="1"/>
    <col min="13575" max="13575" width="17.28515625" style="46" customWidth="1"/>
    <col min="13576" max="13576" width="16.7109375" style="46" customWidth="1"/>
    <col min="13577" max="13577" width="11.42578125" style="46"/>
    <col min="13578" max="13578" width="16.28515625" style="46" bestFit="1" customWidth="1"/>
    <col min="13579" max="13579" width="21.7109375" style="46" bestFit="1" customWidth="1"/>
    <col min="13580" max="13824" width="11.42578125" style="46"/>
    <col min="13825" max="13826" width="4.28515625" style="46" customWidth="1"/>
    <col min="13827" max="13827" width="5.5703125" style="46" customWidth="1"/>
    <col min="13828" max="13828" width="5.28515625" style="46" customWidth="1"/>
    <col min="13829" max="13829" width="44.7109375" style="46" customWidth="1"/>
    <col min="13830" max="13830" width="15.85546875" style="46" bestFit="1" customWidth="1"/>
    <col min="13831" max="13831" width="17.28515625" style="46" customWidth="1"/>
    <col min="13832" max="13832" width="16.7109375" style="46" customWidth="1"/>
    <col min="13833" max="13833" width="11.42578125" style="46"/>
    <col min="13834" max="13834" width="16.28515625" style="46" bestFit="1" customWidth="1"/>
    <col min="13835" max="13835" width="21.7109375" style="46" bestFit="1" customWidth="1"/>
    <col min="13836" max="14080" width="11.42578125" style="46"/>
    <col min="14081" max="14082" width="4.28515625" style="46" customWidth="1"/>
    <col min="14083" max="14083" width="5.5703125" style="46" customWidth="1"/>
    <col min="14084" max="14084" width="5.28515625" style="46" customWidth="1"/>
    <col min="14085" max="14085" width="44.7109375" style="46" customWidth="1"/>
    <col min="14086" max="14086" width="15.85546875" style="46" bestFit="1" customWidth="1"/>
    <col min="14087" max="14087" width="17.28515625" style="46" customWidth="1"/>
    <col min="14088" max="14088" width="16.7109375" style="46" customWidth="1"/>
    <col min="14089" max="14089" width="11.42578125" style="46"/>
    <col min="14090" max="14090" width="16.28515625" style="46" bestFit="1" customWidth="1"/>
    <col min="14091" max="14091" width="21.7109375" style="46" bestFit="1" customWidth="1"/>
    <col min="14092" max="14336" width="11.42578125" style="46"/>
    <col min="14337" max="14338" width="4.28515625" style="46" customWidth="1"/>
    <col min="14339" max="14339" width="5.5703125" style="46" customWidth="1"/>
    <col min="14340" max="14340" width="5.28515625" style="46" customWidth="1"/>
    <col min="14341" max="14341" width="44.7109375" style="46" customWidth="1"/>
    <col min="14342" max="14342" width="15.85546875" style="46" bestFit="1" customWidth="1"/>
    <col min="14343" max="14343" width="17.28515625" style="46" customWidth="1"/>
    <col min="14344" max="14344" width="16.7109375" style="46" customWidth="1"/>
    <col min="14345" max="14345" width="11.42578125" style="46"/>
    <col min="14346" max="14346" width="16.28515625" style="46" bestFit="1" customWidth="1"/>
    <col min="14347" max="14347" width="21.7109375" style="46" bestFit="1" customWidth="1"/>
    <col min="14348" max="14592" width="11.42578125" style="46"/>
    <col min="14593" max="14594" width="4.28515625" style="46" customWidth="1"/>
    <col min="14595" max="14595" width="5.5703125" style="46" customWidth="1"/>
    <col min="14596" max="14596" width="5.28515625" style="46" customWidth="1"/>
    <col min="14597" max="14597" width="44.7109375" style="46" customWidth="1"/>
    <col min="14598" max="14598" width="15.85546875" style="46" bestFit="1" customWidth="1"/>
    <col min="14599" max="14599" width="17.28515625" style="46" customWidth="1"/>
    <col min="14600" max="14600" width="16.7109375" style="46" customWidth="1"/>
    <col min="14601" max="14601" width="11.42578125" style="46"/>
    <col min="14602" max="14602" width="16.28515625" style="46" bestFit="1" customWidth="1"/>
    <col min="14603" max="14603" width="21.7109375" style="46" bestFit="1" customWidth="1"/>
    <col min="14604" max="14848" width="11.42578125" style="46"/>
    <col min="14849" max="14850" width="4.28515625" style="46" customWidth="1"/>
    <col min="14851" max="14851" width="5.5703125" style="46" customWidth="1"/>
    <col min="14852" max="14852" width="5.28515625" style="46" customWidth="1"/>
    <col min="14853" max="14853" width="44.7109375" style="46" customWidth="1"/>
    <col min="14854" max="14854" width="15.85546875" style="46" bestFit="1" customWidth="1"/>
    <col min="14855" max="14855" width="17.28515625" style="46" customWidth="1"/>
    <col min="14856" max="14856" width="16.7109375" style="46" customWidth="1"/>
    <col min="14857" max="14857" width="11.42578125" style="46"/>
    <col min="14858" max="14858" width="16.28515625" style="46" bestFit="1" customWidth="1"/>
    <col min="14859" max="14859" width="21.7109375" style="46" bestFit="1" customWidth="1"/>
    <col min="14860" max="15104" width="11.42578125" style="46"/>
    <col min="15105" max="15106" width="4.28515625" style="46" customWidth="1"/>
    <col min="15107" max="15107" width="5.5703125" style="46" customWidth="1"/>
    <col min="15108" max="15108" width="5.28515625" style="46" customWidth="1"/>
    <col min="15109" max="15109" width="44.7109375" style="46" customWidth="1"/>
    <col min="15110" max="15110" width="15.85546875" style="46" bestFit="1" customWidth="1"/>
    <col min="15111" max="15111" width="17.28515625" style="46" customWidth="1"/>
    <col min="15112" max="15112" width="16.7109375" style="46" customWidth="1"/>
    <col min="15113" max="15113" width="11.42578125" style="46"/>
    <col min="15114" max="15114" width="16.28515625" style="46" bestFit="1" customWidth="1"/>
    <col min="15115" max="15115" width="21.7109375" style="46" bestFit="1" customWidth="1"/>
    <col min="15116" max="15360" width="11.42578125" style="46"/>
    <col min="15361" max="15362" width="4.28515625" style="46" customWidth="1"/>
    <col min="15363" max="15363" width="5.5703125" style="46" customWidth="1"/>
    <col min="15364" max="15364" width="5.28515625" style="46" customWidth="1"/>
    <col min="15365" max="15365" width="44.7109375" style="46" customWidth="1"/>
    <col min="15366" max="15366" width="15.85546875" style="46" bestFit="1" customWidth="1"/>
    <col min="15367" max="15367" width="17.28515625" style="46" customWidth="1"/>
    <col min="15368" max="15368" width="16.7109375" style="46" customWidth="1"/>
    <col min="15369" max="15369" width="11.42578125" style="46"/>
    <col min="15370" max="15370" width="16.28515625" style="46" bestFit="1" customWidth="1"/>
    <col min="15371" max="15371" width="21.7109375" style="46" bestFit="1" customWidth="1"/>
    <col min="15372" max="15616" width="11.42578125" style="46"/>
    <col min="15617" max="15618" width="4.28515625" style="46" customWidth="1"/>
    <col min="15619" max="15619" width="5.5703125" style="46" customWidth="1"/>
    <col min="15620" max="15620" width="5.28515625" style="46" customWidth="1"/>
    <col min="15621" max="15621" width="44.7109375" style="46" customWidth="1"/>
    <col min="15622" max="15622" width="15.85546875" style="46" bestFit="1" customWidth="1"/>
    <col min="15623" max="15623" width="17.28515625" style="46" customWidth="1"/>
    <col min="15624" max="15624" width="16.7109375" style="46" customWidth="1"/>
    <col min="15625" max="15625" width="11.42578125" style="46"/>
    <col min="15626" max="15626" width="16.28515625" style="46" bestFit="1" customWidth="1"/>
    <col min="15627" max="15627" width="21.7109375" style="46" bestFit="1" customWidth="1"/>
    <col min="15628" max="15872" width="11.42578125" style="46"/>
    <col min="15873" max="15874" width="4.28515625" style="46" customWidth="1"/>
    <col min="15875" max="15875" width="5.5703125" style="46" customWidth="1"/>
    <col min="15876" max="15876" width="5.28515625" style="46" customWidth="1"/>
    <col min="15877" max="15877" width="44.7109375" style="46" customWidth="1"/>
    <col min="15878" max="15878" width="15.85546875" style="46" bestFit="1" customWidth="1"/>
    <col min="15879" max="15879" width="17.28515625" style="46" customWidth="1"/>
    <col min="15880" max="15880" width="16.7109375" style="46" customWidth="1"/>
    <col min="15881" max="15881" width="11.42578125" style="46"/>
    <col min="15882" max="15882" width="16.28515625" style="46" bestFit="1" customWidth="1"/>
    <col min="15883" max="15883" width="21.7109375" style="46" bestFit="1" customWidth="1"/>
    <col min="15884" max="16128" width="11.42578125" style="46"/>
    <col min="16129" max="16130" width="4.28515625" style="46" customWidth="1"/>
    <col min="16131" max="16131" width="5.5703125" style="46" customWidth="1"/>
    <col min="16132" max="16132" width="5.28515625" style="46" customWidth="1"/>
    <col min="16133" max="16133" width="44.7109375" style="46" customWidth="1"/>
    <col min="16134" max="16134" width="15.85546875" style="46" bestFit="1" customWidth="1"/>
    <col min="16135" max="16135" width="17.28515625" style="46" customWidth="1"/>
    <col min="16136" max="16136" width="16.7109375" style="46" customWidth="1"/>
    <col min="16137" max="16137" width="11.42578125" style="46"/>
    <col min="16138" max="16138" width="16.28515625" style="46" bestFit="1" customWidth="1"/>
    <col min="16139" max="16139" width="21.7109375" style="46" bestFit="1" customWidth="1"/>
    <col min="16140" max="16384" width="11.42578125" style="46"/>
  </cols>
  <sheetData>
    <row r="1" spans="1:8" x14ac:dyDescent="0.2">
      <c r="A1" s="66">
        <v>7.5345000000000004</v>
      </c>
    </row>
    <row r="2" spans="1:8" ht="15" x14ac:dyDescent="0.25">
      <c r="A2" s="142"/>
      <c r="B2" s="142"/>
      <c r="C2" s="142"/>
      <c r="D2" s="142"/>
      <c r="E2" s="142"/>
      <c r="F2" s="142"/>
      <c r="G2" s="142"/>
      <c r="H2" s="142"/>
    </row>
    <row r="3" spans="1:8" ht="81" customHeight="1" x14ac:dyDescent="0.2">
      <c r="A3" s="143" t="s">
        <v>134</v>
      </c>
      <c r="B3" s="143"/>
      <c r="C3" s="143"/>
      <c r="D3" s="143"/>
      <c r="E3" s="143"/>
      <c r="F3" s="143"/>
      <c r="G3" s="143"/>
      <c r="H3" s="143"/>
    </row>
    <row r="4" spans="1:8" ht="25.5" x14ac:dyDescent="0.35">
      <c r="A4" s="47"/>
      <c r="B4" s="47"/>
      <c r="C4" s="47"/>
      <c r="D4" s="48"/>
      <c r="E4" s="47"/>
      <c r="F4" s="47"/>
      <c r="G4" s="47"/>
      <c r="H4" s="47"/>
    </row>
    <row r="5" spans="1:8" ht="26.25" x14ac:dyDescent="0.4">
      <c r="A5" s="144" t="s">
        <v>135</v>
      </c>
      <c r="B5" s="144"/>
      <c r="C5" s="144"/>
      <c r="D5" s="144"/>
      <c r="E5" s="144"/>
      <c r="F5" s="144"/>
      <c r="G5" s="144"/>
      <c r="H5" s="144"/>
    </row>
    <row r="6" spans="1:8" x14ac:dyDescent="0.2">
      <c r="F6" s="50"/>
      <c r="G6" s="50"/>
      <c r="H6" s="50"/>
    </row>
    <row r="7" spans="1:8" x14ac:dyDescent="0.2">
      <c r="F7" s="50"/>
      <c r="G7" s="50"/>
      <c r="H7" s="50"/>
    </row>
    <row r="8" spans="1:8" x14ac:dyDescent="0.2">
      <c r="E8" s="51"/>
      <c r="F8" s="52"/>
      <c r="G8" s="52"/>
      <c r="H8" s="52"/>
    </row>
    <row r="9" spans="1:8" x14ac:dyDescent="0.2">
      <c r="E9" s="51"/>
      <c r="F9" s="50"/>
      <c r="G9" s="50"/>
      <c r="H9" s="50"/>
    </row>
    <row r="10" spans="1:8" x14ac:dyDescent="0.2">
      <c r="E10" s="51"/>
      <c r="F10" s="50"/>
      <c r="G10" s="50"/>
      <c r="H10" s="50"/>
    </row>
    <row r="11" spans="1:8" x14ac:dyDescent="0.2">
      <c r="E11" s="51"/>
      <c r="F11" s="50"/>
      <c r="G11" s="50"/>
      <c r="H11" s="50"/>
    </row>
    <row r="12" spans="1:8" x14ac:dyDescent="0.2">
      <c r="E12" s="51"/>
      <c r="F12" s="50"/>
      <c r="G12" s="50"/>
      <c r="H12" s="50"/>
    </row>
    <row r="13" spans="1:8" x14ac:dyDescent="0.2">
      <c r="E13" s="51"/>
    </row>
    <row r="17" spans="5:6" x14ac:dyDescent="0.2">
      <c r="E17" s="53"/>
    </row>
    <row r="18" spans="5:6" x14ac:dyDescent="0.2">
      <c r="F18" s="50"/>
    </row>
    <row r="19" spans="5:6" x14ac:dyDescent="0.2">
      <c r="F19" s="50"/>
    </row>
    <row r="20" spans="5:6" x14ac:dyDescent="0.2">
      <c r="F20" s="50"/>
    </row>
  </sheetData>
  <mergeCells count="3">
    <mergeCell ref="A2:H2"/>
    <mergeCell ref="A3:H3"/>
    <mergeCell ref="A5:H5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48"/>
  <sheetViews>
    <sheetView showGridLines="0" tabSelected="1" workbookViewId="0">
      <selection activeCell="S1" sqref="S1"/>
    </sheetView>
  </sheetViews>
  <sheetFormatPr defaultRowHeight="15" x14ac:dyDescent="0.25"/>
  <cols>
    <col min="5" max="5" width="25.28515625" customWidth="1"/>
    <col min="6" max="6" width="17.7109375" hidden="1" customWidth="1"/>
    <col min="7" max="7" width="17.7109375" customWidth="1"/>
    <col min="8" max="8" width="17.7109375" hidden="1" customWidth="1"/>
    <col min="9" max="9" width="17.7109375" customWidth="1"/>
    <col min="10" max="10" width="17.7109375" hidden="1" customWidth="1"/>
    <col min="11" max="11" width="17.7109375" customWidth="1"/>
    <col min="12" max="12" width="17.7109375" hidden="1" customWidth="1"/>
    <col min="13" max="13" width="17.7109375" customWidth="1"/>
    <col min="14" max="14" width="17.7109375" hidden="1" customWidth="1"/>
    <col min="15" max="15" width="17.7109375" customWidth="1"/>
  </cols>
  <sheetData>
    <row r="1" spans="1:15" ht="42" customHeight="1" x14ac:dyDescent="0.25">
      <c r="A1" s="149" t="s">
        <v>136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8" customHeight="1" x14ac:dyDescent="0.25">
      <c r="A2" s="5"/>
      <c r="B2" s="5"/>
      <c r="C2" s="5"/>
      <c r="D2" s="5"/>
      <c r="E2" s="5"/>
      <c r="F2" s="5"/>
      <c r="G2" s="28"/>
      <c r="H2" s="5"/>
      <c r="I2" s="28"/>
      <c r="J2" s="5"/>
      <c r="K2" s="28"/>
      <c r="L2" s="5"/>
      <c r="M2" s="28"/>
      <c r="N2" s="5"/>
      <c r="O2" s="28"/>
    </row>
    <row r="3" spans="1:15" ht="15.75" x14ac:dyDescent="0.25">
      <c r="A3" s="149" t="s">
        <v>31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66"/>
      <c r="M3" s="166"/>
      <c r="N3" s="166"/>
    </row>
    <row r="4" spans="1:15" ht="18" x14ac:dyDescent="0.25">
      <c r="A4" s="5"/>
      <c r="B4" s="5"/>
      <c r="C4" s="5"/>
      <c r="D4" s="5"/>
      <c r="E4" s="5"/>
      <c r="F4" s="5"/>
      <c r="G4" s="28"/>
      <c r="H4" s="5"/>
      <c r="I4" s="28"/>
      <c r="J4" s="5"/>
      <c r="K4" s="28"/>
      <c r="L4" s="6"/>
      <c r="M4" s="6"/>
      <c r="N4" s="6"/>
      <c r="O4" s="6"/>
    </row>
    <row r="5" spans="1:15" ht="18" customHeight="1" x14ac:dyDescent="0.25">
      <c r="A5" s="149" t="s">
        <v>39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5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8"/>
      <c r="L6" s="8"/>
      <c r="M6" s="8"/>
      <c r="N6" s="41"/>
      <c r="O6" s="41"/>
    </row>
    <row r="7" spans="1:15" ht="25.5" customHeight="1" x14ac:dyDescent="0.25">
      <c r="A7" s="33"/>
      <c r="B7" s="34"/>
      <c r="C7" s="34"/>
      <c r="D7" s="35"/>
      <c r="E7" s="36"/>
      <c r="F7" s="170" t="s">
        <v>137</v>
      </c>
      <c r="G7" s="170"/>
      <c r="H7" s="145" t="s">
        <v>138</v>
      </c>
      <c r="I7" s="146"/>
      <c r="J7" s="145" t="s">
        <v>139</v>
      </c>
      <c r="K7" s="146"/>
      <c r="L7" s="145" t="s">
        <v>97</v>
      </c>
      <c r="M7" s="146"/>
      <c r="N7" s="145" t="s">
        <v>140</v>
      </c>
      <c r="O7" s="146"/>
    </row>
    <row r="8" spans="1:15" x14ac:dyDescent="0.25">
      <c r="A8" s="33"/>
      <c r="B8" s="34"/>
      <c r="C8" s="34"/>
      <c r="D8" s="35"/>
      <c r="E8" s="36"/>
      <c r="F8" s="61" t="s">
        <v>47</v>
      </c>
      <c r="G8" s="61" t="s">
        <v>48</v>
      </c>
      <c r="H8" s="61" t="s">
        <v>47</v>
      </c>
      <c r="I8" s="61" t="s">
        <v>48</v>
      </c>
      <c r="J8" s="61" t="s">
        <v>47</v>
      </c>
      <c r="K8" s="61" t="s">
        <v>48</v>
      </c>
      <c r="L8" s="61" t="s">
        <v>47</v>
      </c>
      <c r="M8" s="61" t="s">
        <v>48</v>
      </c>
      <c r="N8" s="61" t="s">
        <v>47</v>
      </c>
      <c r="O8" s="4" t="s">
        <v>48</v>
      </c>
    </row>
    <row r="9" spans="1:15" x14ac:dyDescent="0.25">
      <c r="A9" s="167" t="s">
        <v>0</v>
      </c>
      <c r="B9" s="162"/>
      <c r="C9" s="162"/>
      <c r="D9" s="162"/>
      <c r="E9" s="168"/>
      <c r="F9" s="104">
        <f>+F10+F11</f>
        <v>5955841.6400000006</v>
      </c>
      <c r="G9" s="37">
        <f t="shared" ref="G9:O9" si="0">+G10+G11</f>
        <v>957966</v>
      </c>
      <c r="H9" s="37">
        <f t="shared" si="0"/>
        <v>0</v>
      </c>
      <c r="I9" s="37">
        <f t="shared" si="0"/>
        <v>1240101</v>
      </c>
      <c r="J9" s="37">
        <f t="shared" si="0"/>
        <v>0</v>
      </c>
      <c r="K9" s="37">
        <f t="shared" si="0"/>
        <v>1279200</v>
      </c>
      <c r="L9" s="37">
        <f t="shared" si="0"/>
        <v>0</v>
      </c>
      <c r="M9" s="37">
        <f t="shared" si="0"/>
        <v>1279195</v>
      </c>
      <c r="N9" s="37">
        <f t="shared" si="0"/>
        <v>0</v>
      </c>
      <c r="O9" s="37">
        <f t="shared" si="0"/>
        <v>1279195</v>
      </c>
    </row>
    <row r="10" spans="1:15" x14ac:dyDescent="0.25">
      <c r="A10" s="157" t="s">
        <v>1</v>
      </c>
      <c r="B10" s="160"/>
      <c r="C10" s="160"/>
      <c r="D10" s="160"/>
      <c r="E10" s="164"/>
      <c r="F10" s="105">
        <f>+' Račun prihoda i rashoda'!F11</f>
        <v>5955841.6400000006</v>
      </c>
      <c r="G10" s="130">
        <f>+' Račun prihoda i rashoda'!G11</f>
        <v>957966</v>
      </c>
      <c r="H10" s="130">
        <f>+' Račun prihoda i rashoda'!H11</f>
        <v>0</v>
      </c>
      <c r="I10" s="130">
        <f>+' Račun prihoda i rashoda'!I11</f>
        <v>1240101</v>
      </c>
      <c r="J10" s="130">
        <f>+' Račun prihoda i rashoda'!J11</f>
        <v>0</v>
      </c>
      <c r="K10" s="130">
        <f>+' Račun prihoda i rashoda'!K11</f>
        <v>1279200</v>
      </c>
      <c r="L10" s="130">
        <f>+' Račun prihoda i rashoda'!L11</f>
        <v>0</v>
      </c>
      <c r="M10" s="130">
        <f>+' Račun prihoda i rashoda'!M11</f>
        <v>1279195</v>
      </c>
      <c r="N10" s="130">
        <f>+' Račun prihoda i rashoda'!N11</f>
        <v>0</v>
      </c>
      <c r="O10" s="130">
        <f>+' Račun prihoda i rashoda'!O11</f>
        <v>1279195</v>
      </c>
    </row>
    <row r="11" spans="1:15" x14ac:dyDescent="0.25">
      <c r="A11" s="169" t="s">
        <v>2</v>
      </c>
      <c r="B11" s="164"/>
      <c r="C11" s="164"/>
      <c r="D11" s="164"/>
      <c r="E11" s="164"/>
      <c r="F11" s="105">
        <f>+' Račun prihoda i rashoda'!F31</f>
        <v>0</v>
      </c>
      <c r="G11" s="130">
        <f>+' Račun prihoda i rashoda'!G31</f>
        <v>0</v>
      </c>
      <c r="H11" s="130">
        <f>+' Račun prihoda i rashoda'!H31</f>
        <v>0</v>
      </c>
      <c r="I11" s="130">
        <f>+' Račun prihoda i rashoda'!I31</f>
        <v>0</v>
      </c>
      <c r="J11" s="130">
        <f>+' Račun prihoda i rashoda'!J31</f>
        <v>0</v>
      </c>
      <c r="K11" s="130">
        <f>+' Račun prihoda i rashoda'!K31</f>
        <v>0</v>
      </c>
      <c r="L11" s="130">
        <f>+' Račun prihoda i rashoda'!L31</f>
        <v>0</v>
      </c>
      <c r="M11" s="130">
        <f>+' Račun prihoda i rashoda'!M31</f>
        <v>0</v>
      </c>
      <c r="N11" s="130">
        <f>+' Račun prihoda i rashoda'!N31</f>
        <v>0</v>
      </c>
      <c r="O11" s="130">
        <f>+' Račun prihoda i rashoda'!O31</f>
        <v>0</v>
      </c>
    </row>
    <row r="12" spans="1:15" x14ac:dyDescent="0.25">
      <c r="A12" s="42" t="s">
        <v>3</v>
      </c>
      <c r="B12" s="43"/>
      <c r="C12" s="43"/>
      <c r="D12" s="43"/>
      <c r="E12" s="43"/>
      <c r="F12" s="104">
        <f>+F13+F14</f>
        <v>5931319.3700000001</v>
      </c>
      <c r="G12" s="37">
        <f t="shared" ref="G12:O12" si="1">+G13+G14</f>
        <v>961801</v>
      </c>
      <c r="H12" s="37">
        <f t="shared" si="1"/>
        <v>0</v>
      </c>
      <c r="I12" s="37">
        <f t="shared" si="1"/>
        <v>1240101</v>
      </c>
      <c r="J12" s="37">
        <f t="shared" si="1"/>
        <v>0</v>
      </c>
      <c r="K12" s="37">
        <f t="shared" si="1"/>
        <v>1279200</v>
      </c>
      <c r="L12" s="37">
        <f t="shared" si="1"/>
        <v>0</v>
      </c>
      <c r="M12" s="37">
        <f>+M13+M14</f>
        <v>1279195</v>
      </c>
      <c r="N12" s="37">
        <f t="shared" si="1"/>
        <v>0</v>
      </c>
      <c r="O12" s="37">
        <f t="shared" si="1"/>
        <v>1279195</v>
      </c>
    </row>
    <row r="13" spans="1:15" x14ac:dyDescent="0.25">
      <c r="A13" s="165" t="s">
        <v>4</v>
      </c>
      <c r="B13" s="160"/>
      <c r="C13" s="160"/>
      <c r="D13" s="160"/>
      <c r="E13" s="160"/>
      <c r="F13" s="105">
        <f>+' Račun prihoda i rashoda'!F42</f>
        <v>5771292.29</v>
      </c>
      <c r="G13" s="130">
        <f>+' Račun prihoda i rashoda'!G42</f>
        <v>942521</v>
      </c>
      <c r="H13" s="130">
        <f>+' Račun prihoda i rashoda'!H42</f>
        <v>0</v>
      </c>
      <c r="I13" s="130">
        <f>+' Račun prihoda i rashoda'!I42</f>
        <v>1223101</v>
      </c>
      <c r="J13" s="130">
        <f>+' Račun prihoda i rashoda'!J42</f>
        <v>0</v>
      </c>
      <c r="K13" s="130">
        <f>+' Račun prihoda i rashoda'!K42</f>
        <v>1260200</v>
      </c>
      <c r="L13" s="130">
        <f>+' Račun prihoda i rashoda'!L42</f>
        <v>0</v>
      </c>
      <c r="M13" s="130">
        <f>+' Račun prihoda i rashoda'!M42</f>
        <v>1260195</v>
      </c>
      <c r="N13" s="131">
        <f>+' Račun prihoda i rashoda'!N42</f>
        <v>0</v>
      </c>
      <c r="O13" s="130">
        <f>+' Račun prihoda i rashoda'!O42</f>
        <v>1260195</v>
      </c>
    </row>
    <row r="14" spans="1:15" x14ac:dyDescent="0.25">
      <c r="A14" s="163" t="s">
        <v>5</v>
      </c>
      <c r="B14" s="164"/>
      <c r="C14" s="164"/>
      <c r="D14" s="164"/>
      <c r="E14" s="164"/>
      <c r="F14" s="82">
        <f>+' Račun prihoda i rashoda'!F83</f>
        <v>160027.08000000002</v>
      </c>
      <c r="G14" s="38">
        <f>+' Račun prihoda i rashoda'!G83</f>
        <v>19280</v>
      </c>
      <c r="H14" s="38">
        <f>+' Račun prihoda i rashoda'!H83</f>
        <v>0</v>
      </c>
      <c r="I14" s="38">
        <f>+' Račun prihoda i rashoda'!I83</f>
        <v>17000</v>
      </c>
      <c r="J14" s="38">
        <f>+' Račun prihoda i rashoda'!J83</f>
        <v>0</v>
      </c>
      <c r="K14" s="38">
        <f>+' Račun prihoda i rashoda'!K83</f>
        <v>19000</v>
      </c>
      <c r="L14" s="38">
        <f>+' Račun prihoda i rashoda'!L83</f>
        <v>0</v>
      </c>
      <c r="M14" s="38">
        <f>+' Račun prihoda i rashoda'!M83</f>
        <v>19000</v>
      </c>
      <c r="N14" s="131">
        <f>+' Račun prihoda i rashoda'!N83</f>
        <v>0</v>
      </c>
      <c r="O14" s="38">
        <f>+' Račun prihoda i rashoda'!O83</f>
        <v>19000</v>
      </c>
    </row>
    <row r="15" spans="1:15" x14ac:dyDescent="0.25">
      <c r="A15" s="161" t="s">
        <v>6</v>
      </c>
      <c r="B15" s="162"/>
      <c r="C15" s="162"/>
      <c r="D15" s="162"/>
      <c r="E15" s="162"/>
      <c r="F15" s="104">
        <f>SUM(F9-F12)</f>
        <v>24522.270000000484</v>
      </c>
      <c r="G15" s="37">
        <f>SUM(G9-G12)</f>
        <v>-3835</v>
      </c>
      <c r="H15" s="37">
        <f t="shared" ref="H15:I15" si="2">SUM(H9-H12)</f>
        <v>0</v>
      </c>
      <c r="I15" s="37">
        <f t="shared" si="2"/>
        <v>0</v>
      </c>
      <c r="J15" s="37">
        <f t="shared" ref="J15:O15" si="3">SUM(J9-J12+J31)</f>
        <v>0</v>
      </c>
      <c r="K15" s="37">
        <f t="shared" si="3"/>
        <v>0</v>
      </c>
      <c r="L15" s="37">
        <f t="shared" si="3"/>
        <v>0</v>
      </c>
      <c r="M15" s="37">
        <f t="shared" si="3"/>
        <v>0</v>
      </c>
      <c r="N15" s="37">
        <f t="shared" si="3"/>
        <v>0</v>
      </c>
      <c r="O15" s="37">
        <f t="shared" si="3"/>
        <v>0</v>
      </c>
    </row>
    <row r="16" spans="1:15" ht="18" x14ac:dyDescent="0.25">
      <c r="A16" s="5"/>
      <c r="B16" s="9"/>
      <c r="C16" s="9"/>
      <c r="D16" s="9"/>
      <c r="E16" s="9"/>
      <c r="F16" s="9"/>
      <c r="G16" s="26"/>
      <c r="H16" s="9"/>
      <c r="I16" s="26"/>
      <c r="J16" s="3"/>
      <c r="K16" s="27"/>
      <c r="L16" s="3"/>
      <c r="M16" s="27"/>
      <c r="N16" s="3"/>
      <c r="O16" s="27"/>
    </row>
    <row r="17" spans="1:15" ht="18" customHeight="1" x14ac:dyDescent="0.25">
      <c r="A17" s="149" t="s">
        <v>40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5" ht="18" x14ac:dyDescent="0.25">
      <c r="A18" s="28"/>
      <c r="B18" s="26"/>
      <c r="C18" s="26"/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</row>
    <row r="19" spans="1:15" ht="25.5" customHeight="1" x14ac:dyDescent="0.25">
      <c r="A19" s="33"/>
      <c r="B19" s="34"/>
      <c r="C19" s="34"/>
      <c r="D19" s="35"/>
      <c r="E19" s="36"/>
      <c r="F19" s="170" t="s">
        <v>137</v>
      </c>
      <c r="G19" s="170"/>
      <c r="H19" s="145" t="s">
        <v>138</v>
      </c>
      <c r="I19" s="146"/>
      <c r="J19" s="145" t="s">
        <v>139</v>
      </c>
      <c r="K19" s="146"/>
      <c r="L19" s="145" t="s">
        <v>97</v>
      </c>
      <c r="M19" s="146"/>
      <c r="N19" s="145" t="s">
        <v>140</v>
      </c>
      <c r="O19" s="146"/>
    </row>
    <row r="20" spans="1:15" x14ac:dyDescent="0.25">
      <c r="A20" s="33"/>
      <c r="B20" s="34"/>
      <c r="C20" s="34"/>
      <c r="D20" s="35"/>
      <c r="E20" s="36"/>
      <c r="F20" s="61" t="s">
        <v>47</v>
      </c>
      <c r="G20" s="61" t="s">
        <v>48</v>
      </c>
      <c r="H20" s="61" t="s">
        <v>47</v>
      </c>
      <c r="I20" s="61" t="s">
        <v>48</v>
      </c>
      <c r="J20" s="61" t="s">
        <v>47</v>
      </c>
      <c r="K20" s="61" t="s">
        <v>48</v>
      </c>
      <c r="L20" s="61" t="s">
        <v>47</v>
      </c>
      <c r="M20" s="61" t="s">
        <v>48</v>
      </c>
      <c r="N20" s="61" t="s">
        <v>47</v>
      </c>
      <c r="O20" s="4" t="s">
        <v>48</v>
      </c>
    </row>
    <row r="21" spans="1:15" ht="15.75" customHeight="1" x14ac:dyDescent="0.25">
      <c r="A21" s="157" t="s">
        <v>8</v>
      </c>
      <c r="B21" s="158"/>
      <c r="C21" s="158"/>
      <c r="D21" s="158"/>
      <c r="E21" s="159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x14ac:dyDescent="0.25">
      <c r="A22" s="157" t="s">
        <v>9</v>
      </c>
      <c r="B22" s="160"/>
      <c r="C22" s="160"/>
      <c r="D22" s="160"/>
      <c r="E22" s="160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x14ac:dyDescent="0.25">
      <c r="A23" s="161" t="s">
        <v>10</v>
      </c>
      <c r="B23" s="162"/>
      <c r="C23" s="162"/>
      <c r="D23" s="162"/>
      <c r="E23" s="162"/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</row>
    <row r="24" spans="1:15" ht="18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  <c r="K24" s="27"/>
      <c r="L24" s="27"/>
      <c r="M24" s="27"/>
      <c r="N24" s="27"/>
      <c r="O24" s="27"/>
    </row>
    <row r="25" spans="1:15" ht="18" customHeight="1" x14ac:dyDescent="0.25">
      <c r="A25" s="149" t="s">
        <v>127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</row>
    <row r="26" spans="1:15" ht="18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  <c r="K26" s="27"/>
      <c r="L26" s="27"/>
      <c r="M26" s="27"/>
      <c r="N26" s="27"/>
      <c r="O26" s="27"/>
    </row>
    <row r="27" spans="1:15" ht="25.5" customHeight="1" x14ac:dyDescent="0.25">
      <c r="A27" s="33"/>
      <c r="B27" s="34"/>
      <c r="C27" s="34"/>
      <c r="D27" s="35"/>
      <c r="E27" s="36"/>
      <c r="F27" s="170" t="s">
        <v>137</v>
      </c>
      <c r="G27" s="170"/>
      <c r="H27" s="145" t="s">
        <v>138</v>
      </c>
      <c r="I27" s="146"/>
      <c r="J27" s="145" t="s">
        <v>139</v>
      </c>
      <c r="K27" s="146"/>
      <c r="L27" s="145" t="s">
        <v>97</v>
      </c>
      <c r="M27" s="146"/>
      <c r="N27" s="145" t="s">
        <v>140</v>
      </c>
      <c r="O27" s="146"/>
    </row>
    <row r="28" spans="1:15" x14ac:dyDescent="0.25">
      <c r="A28" s="33"/>
      <c r="B28" s="34"/>
      <c r="C28" s="34"/>
      <c r="D28" s="35"/>
      <c r="E28" s="36"/>
      <c r="F28" s="61" t="s">
        <v>47</v>
      </c>
      <c r="G28" s="61" t="s">
        <v>48</v>
      </c>
      <c r="H28" s="61" t="s">
        <v>47</v>
      </c>
      <c r="I28" s="61" t="s">
        <v>48</v>
      </c>
      <c r="J28" s="61" t="s">
        <v>47</v>
      </c>
      <c r="K28" s="61" t="s">
        <v>48</v>
      </c>
      <c r="L28" s="61" t="s">
        <v>47</v>
      </c>
      <c r="M28" s="61" t="s">
        <v>48</v>
      </c>
      <c r="N28" s="61" t="s">
        <v>47</v>
      </c>
      <c r="O28" s="4" t="s">
        <v>48</v>
      </c>
    </row>
    <row r="29" spans="1:15" x14ac:dyDescent="0.25">
      <c r="A29" s="151" t="s">
        <v>131</v>
      </c>
      <c r="B29" s="152"/>
      <c r="C29" s="152"/>
      <c r="D29" s="152"/>
      <c r="E29" s="153"/>
      <c r="F29" s="39"/>
      <c r="G29" s="39"/>
      <c r="H29" s="39"/>
      <c r="I29" s="120"/>
      <c r="J29" s="39"/>
      <c r="K29" s="39"/>
      <c r="L29" s="39"/>
      <c r="M29" s="39"/>
      <c r="N29" s="40"/>
      <c r="O29" s="84"/>
    </row>
    <row r="30" spans="1:15" x14ac:dyDescent="0.25">
      <c r="A30" s="151" t="s">
        <v>129</v>
      </c>
      <c r="B30" s="152"/>
      <c r="C30" s="152"/>
      <c r="D30" s="152"/>
      <c r="E30" s="153"/>
      <c r="F30" s="39"/>
      <c r="G30" s="39"/>
      <c r="H30" s="39"/>
      <c r="I30" s="39"/>
      <c r="J30" s="39"/>
      <c r="K30" s="39"/>
      <c r="L30" s="39"/>
      <c r="M30" s="39"/>
      <c r="N30" s="40"/>
      <c r="O30" s="84"/>
    </row>
    <row r="31" spans="1:15" ht="42" customHeight="1" x14ac:dyDescent="0.25">
      <c r="A31" s="154" t="s">
        <v>130</v>
      </c>
      <c r="B31" s="155"/>
      <c r="C31" s="155"/>
      <c r="D31" s="155"/>
      <c r="E31" s="156"/>
      <c r="F31" s="83">
        <v>-9953.7199999999993</v>
      </c>
      <c r="G31" s="127">
        <v>1933.58</v>
      </c>
      <c r="H31" s="127"/>
      <c r="I31" s="127">
        <v>1933.58</v>
      </c>
      <c r="J31" s="127">
        <f>+' Račun prihoda i rashoda'!J36</f>
        <v>0</v>
      </c>
      <c r="K31" s="127">
        <f>+' Račun prihoda i rashoda'!K36</f>
        <v>0</v>
      </c>
      <c r="L31" s="127">
        <f>+' Račun prihoda i rashoda'!L36</f>
        <v>0</v>
      </c>
      <c r="M31" s="127">
        <f>+' Račun prihoda i rashoda'!M36</f>
        <v>0</v>
      </c>
      <c r="N31" s="128">
        <f>+' Račun prihoda i rashoda'!N36</f>
        <v>0</v>
      </c>
      <c r="O31" s="129">
        <f>+' Račun prihoda i rashoda'!O36</f>
        <v>0</v>
      </c>
    </row>
    <row r="34" spans="1:15" ht="11.25" customHeight="1" x14ac:dyDescent="0.25">
      <c r="A34" s="20"/>
      <c r="B34" s="21"/>
      <c r="C34" s="21"/>
      <c r="D34" s="21"/>
      <c r="E34" s="21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ht="29.25" customHeight="1" x14ac:dyDescent="0.25">
      <c r="A35" s="147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</row>
    <row r="36" spans="1:15" ht="18" customHeight="1" x14ac:dyDescent="0.25">
      <c r="A36" s="149" t="s">
        <v>128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</row>
    <row r="37" spans="1:15" ht="18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27"/>
      <c r="K37" s="27"/>
      <c r="L37" s="27"/>
      <c r="M37" s="27"/>
      <c r="N37" s="27"/>
      <c r="O37" s="27"/>
    </row>
    <row r="38" spans="1:15" ht="25.5" customHeight="1" x14ac:dyDescent="0.25">
      <c r="A38" s="33"/>
      <c r="B38" s="34"/>
      <c r="C38" s="34"/>
      <c r="D38" s="35"/>
      <c r="E38" s="36"/>
      <c r="F38" s="170" t="s">
        <v>137</v>
      </c>
      <c r="G38" s="170"/>
      <c r="H38" s="145" t="s">
        <v>138</v>
      </c>
      <c r="I38" s="146"/>
      <c r="J38" s="145" t="s">
        <v>139</v>
      </c>
      <c r="K38" s="146"/>
      <c r="L38" s="145" t="s">
        <v>97</v>
      </c>
      <c r="M38" s="146"/>
      <c r="N38" s="145" t="s">
        <v>140</v>
      </c>
      <c r="O38" s="146"/>
    </row>
    <row r="39" spans="1:15" x14ac:dyDescent="0.25">
      <c r="A39" s="33"/>
      <c r="B39" s="34"/>
      <c r="C39" s="34"/>
      <c r="D39" s="35"/>
      <c r="E39" s="36"/>
      <c r="F39" s="95" t="s">
        <v>47</v>
      </c>
      <c r="G39" s="95" t="s">
        <v>48</v>
      </c>
      <c r="H39" s="95" t="s">
        <v>47</v>
      </c>
      <c r="I39" s="95" t="s">
        <v>48</v>
      </c>
      <c r="J39" s="95" t="s">
        <v>47</v>
      </c>
      <c r="K39" s="95" t="s">
        <v>48</v>
      </c>
      <c r="L39" s="95" t="s">
        <v>47</v>
      </c>
      <c r="M39" s="95" t="s">
        <v>48</v>
      </c>
      <c r="N39" s="95" t="s">
        <v>47</v>
      </c>
      <c r="O39" s="4" t="s">
        <v>48</v>
      </c>
    </row>
    <row r="40" spans="1:15" ht="15" customHeight="1" x14ac:dyDescent="0.25">
      <c r="A40" s="171" t="s">
        <v>132</v>
      </c>
      <c r="B40" s="172"/>
      <c r="C40" s="172"/>
      <c r="D40" s="172"/>
      <c r="E40" s="173"/>
      <c r="F40" s="121"/>
      <c r="G40" s="121"/>
      <c r="H40" s="121"/>
      <c r="I40" s="121"/>
      <c r="J40" s="121"/>
      <c r="K40" s="121"/>
      <c r="L40" s="121"/>
      <c r="M40" s="121"/>
      <c r="N40" s="122"/>
      <c r="O40" s="123"/>
    </row>
    <row r="41" spans="1:15" ht="30" customHeight="1" x14ac:dyDescent="0.25">
      <c r="A41" s="174" t="s">
        <v>7</v>
      </c>
      <c r="B41" s="175"/>
      <c r="C41" s="175"/>
      <c r="D41" s="175"/>
      <c r="E41" s="176"/>
      <c r="F41" s="124">
        <v>-9953.7199999999993</v>
      </c>
      <c r="G41" s="124">
        <v>1933.58</v>
      </c>
      <c r="H41" s="124"/>
      <c r="I41" s="124">
        <v>1933.58</v>
      </c>
      <c r="J41" s="124">
        <f>+' Račun prihoda i rashoda'!J47</f>
        <v>0</v>
      </c>
      <c r="K41" s="124">
        <v>0</v>
      </c>
      <c r="L41" s="124">
        <f>+' Račun prihoda i rashoda'!L47</f>
        <v>0</v>
      </c>
      <c r="M41" s="124">
        <v>0</v>
      </c>
      <c r="N41" s="125">
        <f>+' Račun prihoda i rashoda'!N47</f>
        <v>0</v>
      </c>
      <c r="O41" s="126">
        <v>0</v>
      </c>
    </row>
    <row r="42" spans="1:15" ht="15" customHeight="1" x14ac:dyDescent="0.25">
      <c r="A42" s="171" t="s">
        <v>133</v>
      </c>
      <c r="B42" s="172"/>
      <c r="C42" s="172"/>
      <c r="D42" s="172"/>
      <c r="E42" s="173"/>
      <c r="F42" s="121"/>
      <c r="G42" s="121">
        <v>-3835.3</v>
      </c>
      <c r="H42" s="121"/>
      <c r="I42" s="121">
        <v>-1934</v>
      </c>
      <c r="J42" s="121"/>
      <c r="K42" s="121">
        <v>0</v>
      </c>
      <c r="L42" s="121"/>
      <c r="M42" s="121">
        <v>0</v>
      </c>
      <c r="N42" s="122"/>
      <c r="O42" s="123">
        <v>0</v>
      </c>
    </row>
    <row r="43" spans="1:15" ht="15" customHeight="1" x14ac:dyDescent="0.25">
      <c r="A43" s="171" t="s">
        <v>129</v>
      </c>
      <c r="B43" s="172"/>
      <c r="C43" s="172"/>
      <c r="D43" s="172"/>
      <c r="E43" s="173"/>
      <c r="F43" s="121"/>
      <c r="G43" s="121">
        <f>SUM(G41:G42)</f>
        <v>-1901.7200000000003</v>
      </c>
      <c r="H43" s="121">
        <f t="shared" ref="H43:I43" si="4">SUM(H41:H42)</f>
        <v>0</v>
      </c>
      <c r="I43" s="121">
        <f t="shared" si="4"/>
        <v>-0.42000000000007276</v>
      </c>
      <c r="J43" s="121"/>
      <c r="K43" s="121">
        <v>0</v>
      </c>
      <c r="L43" s="121"/>
      <c r="M43" s="121">
        <v>0</v>
      </c>
      <c r="N43" s="122"/>
      <c r="O43" s="123">
        <v>0</v>
      </c>
    </row>
    <row r="45" spans="1:15" ht="8.25" customHeight="1" x14ac:dyDescent="0.25"/>
    <row r="46" spans="1:15" x14ac:dyDescent="0.25">
      <c r="A46" s="118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</row>
    <row r="47" spans="1:15" ht="8.25" customHeight="1" x14ac:dyDescent="0.25"/>
    <row r="48" spans="1:15" ht="29.25" customHeight="1" x14ac:dyDescent="0.25">
      <c r="A48" s="147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</row>
  </sheetData>
  <mergeCells count="44">
    <mergeCell ref="A43:E43"/>
    <mergeCell ref="L38:M38"/>
    <mergeCell ref="N38:O38"/>
    <mergeCell ref="A40:E40"/>
    <mergeCell ref="A41:E41"/>
    <mergeCell ref="A1:O1"/>
    <mergeCell ref="A13:E13"/>
    <mergeCell ref="A5:N5"/>
    <mergeCell ref="A17:N17"/>
    <mergeCell ref="A3:N3"/>
    <mergeCell ref="A9:E9"/>
    <mergeCell ref="A10:E10"/>
    <mergeCell ref="A11:E11"/>
    <mergeCell ref="F7:G7"/>
    <mergeCell ref="H7:I7"/>
    <mergeCell ref="J7:K7"/>
    <mergeCell ref="L7:M7"/>
    <mergeCell ref="N7:O7"/>
    <mergeCell ref="A21:E21"/>
    <mergeCell ref="A22:E22"/>
    <mergeCell ref="A23:E23"/>
    <mergeCell ref="A14:E14"/>
    <mergeCell ref="A15:E15"/>
    <mergeCell ref="A48:N48"/>
    <mergeCell ref="A25:N25"/>
    <mergeCell ref="A35:N35"/>
    <mergeCell ref="A29:E29"/>
    <mergeCell ref="A31:E31"/>
    <mergeCell ref="N27:O27"/>
    <mergeCell ref="L27:M27"/>
    <mergeCell ref="J27:K27"/>
    <mergeCell ref="H27:I27"/>
    <mergeCell ref="F27:G27"/>
    <mergeCell ref="A36:N36"/>
    <mergeCell ref="F38:G38"/>
    <mergeCell ref="H38:I38"/>
    <mergeCell ref="J38:K38"/>
    <mergeCell ref="A30:E30"/>
    <mergeCell ref="A42:E42"/>
    <mergeCell ref="F19:G19"/>
    <mergeCell ref="H19:I19"/>
    <mergeCell ref="J19:K19"/>
    <mergeCell ref="L19:M19"/>
    <mergeCell ref="N19:O19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105"/>
  <sheetViews>
    <sheetView showGridLines="0" zoomScaleNormal="100" workbookViewId="0">
      <pane xSplit="5" ySplit="1" topLeftCell="G2" activePane="bottomRight" state="frozen"/>
      <selection pane="topRight" activeCell="F1" sqref="F1"/>
      <selection pane="bottomLeft" activeCell="A2" sqref="A2"/>
      <selection pane="bottomRight" sqref="A1:O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69.85546875" bestFit="1" customWidth="1"/>
    <col min="5" max="5" width="25.28515625" hidden="1" customWidth="1"/>
    <col min="6" max="6" width="14" hidden="1" customWidth="1"/>
    <col min="7" max="7" width="13.5703125" customWidth="1"/>
    <col min="8" max="8" width="13.5703125" hidden="1" customWidth="1"/>
    <col min="9" max="9" width="13.5703125" customWidth="1"/>
    <col min="10" max="10" width="13.5703125" hidden="1" customWidth="1"/>
    <col min="11" max="11" width="13.5703125" customWidth="1"/>
    <col min="12" max="12" width="13.5703125" hidden="1" customWidth="1"/>
    <col min="13" max="13" width="13.5703125" customWidth="1"/>
    <col min="14" max="14" width="13.5703125" hidden="1" customWidth="1"/>
    <col min="15" max="15" width="13.5703125" customWidth="1"/>
  </cols>
  <sheetData>
    <row r="1" spans="1:17" ht="42" customHeight="1" x14ac:dyDescent="0.25">
      <c r="A1" s="149" t="str">
        <f>+SAŽETAK!A1</f>
        <v>FINANCIJSKI PLAN OSNOVNE ŠKOLE ANTUNA MASLE - ORAŠAC ZA 2025. I PROJEKCIJA ZA 2026. I 2027. GODINU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7" ht="18" customHeight="1" x14ac:dyDescent="0.25">
      <c r="A2" s="5"/>
      <c r="B2" s="5"/>
      <c r="C2" s="5"/>
      <c r="D2" s="5"/>
      <c r="E2" s="28"/>
      <c r="F2" s="5"/>
      <c r="G2" s="28"/>
      <c r="H2" s="5"/>
      <c r="I2" s="28"/>
      <c r="J2" s="5"/>
      <c r="K2" s="28"/>
      <c r="L2" s="5"/>
      <c r="M2" s="28"/>
      <c r="N2" s="5"/>
      <c r="O2" s="28"/>
    </row>
    <row r="3" spans="1:17" ht="15.75" customHeight="1" x14ac:dyDescent="0.25">
      <c r="A3" s="149" t="s">
        <v>31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7" ht="18" x14ac:dyDescent="0.25">
      <c r="A4" s="5"/>
      <c r="B4" s="5"/>
      <c r="C4" s="5"/>
      <c r="D4" s="5"/>
      <c r="E4" s="28"/>
      <c r="F4" s="5"/>
      <c r="G4" s="28"/>
      <c r="H4" s="5"/>
      <c r="I4" s="28"/>
      <c r="J4" s="5"/>
      <c r="K4" s="28"/>
      <c r="L4" s="6"/>
      <c r="M4" s="6"/>
      <c r="N4" s="6"/>
      <c r="O4" s="6"/>
    </row>
    <row r="5" spans="1:17" ht="18" customHeight="1" x14ac:dyDescent="0.25">
      <c r="A5" s="149" t="s">
        <v>12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7" ht="18" x14ac:dyDescent="0.25">
      <c r="A6" s="5"/>
      <c r="B6" s="5"/>
      <c r="C6" s="5"/>
      <c r="D6" s="5"/>
      <c r="E6" s="28"/>
      <c r="F6" s="5"/>
      <c r="G6" s="28"/>
      <c r="H6" s="5"/>
      <c r="I6" s="28"/>
      <c r="J6" s="5"/>
      <c r="K6" s="28"/>
      <c r="L6" s="6"/>
      <c r="M6" s="6"/>
      <c r="N6" s="6"/>
      <c r="O6" s="6"/>
    </row>
    <row r="7" spans="1:17" ht="15.75" customHeight="1" x14ac:dyDescent="0.25">
      <c r="A7" s="149" t="s">
        <v>1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</row>
    <row r="8" spans="1:17" ht="18" x14ac:dyDescent="0.25">
      <c r="A8" s="5"/>
      <c r="B8" s="5"/>
      <c r="C8" s="5"/>
      <c r="D8" s="5"/>
      <c r="E8" s="28"/>
      <c r="F8" s="88"/>
      <c r="G8" s="28"/>
      <c r="H8" s="5"/>
      <c r="I8" s="28"/>
      <c r="J8" s="5"/>
      <c r="K8" s="28"/>
      <c r="L8" s="6"/>
      <c r="M8" s="6"/>
      <c r="N8" s="6"/>
      <c r="O8" s="6"/>
    </row>
    <row r="9" spans="1:17" ht="25.5" customHeight="1" x14ac:dyDescent="0.25">
      <c r="A9" s="24" t="s">
        <v>13</v>
      </c>
      <c r="B9" s="23" t="s">
        <v>14</v>
      </c>
      <c r="C9" s="23" t="s">
        <v>15</v>
      </c>
      <c r="D9" s="23" t="s">
        <v>11</v>
      </c>
      <c r="E9" s="23"/>
      <c r="F9" s="177" t="s">
        <v>137</v>
      </c>
      <c r="G9" s="178"/>
      <c r="H9" s="177" t="s">
        <v>138</v>
      </c>
      <c r="I9" s="178"/>
      <c r="J9" s="177" t="s">
        <v>141</v>
      </c>
      <c r="K9" s="178"/>
      <c r="L9" s="177" t="s">
        <v>97</v>
      </c>
      <c r="M9" s="182"/>
      <c r="N9" s="177" t="s">
        <v>140</v>
      </c>
      <c r="O9" s="182"/>
    </row>
    <row r="10" spans="1:17" x14ac:dyDescent="0.25">
      <c r="A10" s="24"/>
      <c r="B10" s="23"/>
      <c r="C10" s="23"/>
      <c r="D10" s="23"/>
      <c r="E10" s="23"/>
      <c r="F10" s="111" t="s">
        <v>47</v>
      </c>
      <c r="G10" s="111" t="s">
        <v>48</v>
      </c>
      <c r="H10" s="111" t="s">
        <v>47</v>
      </c>
      <c r="I10" s="111" t="s">
        <v>48</v>
      </c>
      <c r="J10" s="111" t="s">
        <v>47</v>
      </c>
      <c r="K10" s="111" t="s">
        <v>48</v>
      </c>
      <c r="L10" s="111" t="s">
        <v>47</v>
      </c>
      <c r="M10" s="111" t="s">
        <v>48</v>
      </c>
      <c r="N10" s="111" t="s">
        <v>47</v>
      </c>
      <c r="O10" s="111" t="s">
        <v>48</v>
      </c>
      <c r="Q10" s="90"/>
    </row>
    <row r="11" spans="1:17" s="65" customFormat="1" ht="15.75" customHeight="1" x14ac:dyDescent="0.25">
      <c r="A11" s="80">
        <v>6</v>
      </c>
      <c r="B11" s="80"/>
      <c r="C11" s="80"/>
      <c r="D11" s="80" t="s">
        <v>16</v>
      </c>
      <c r="E11" s="81"/>
      <c r="F11" s="110">
        <f t="shared" ref="F11:O11" si="0">+F12+F15+F17+F20+F23+F29</f>
        <v>5955841.6400000006</v>
      </c>
      <c r="G11" s="217">
        <f>+G12+G15+G17+G20+G23+G29</f>
        <v>957966</v>
      </c>
      <c r="H11" s="217">
        <f t="shared" si="0"/>
        <v>0</v>
      </c>
      <c r="I11" s="217">
        <f>+I12+I15+I17+I20+I23+I29+I34</f>
        <v>1240101</v>
      </c>
      <c r="J11" s="217">
        <f t="shared" si="0"/>
        <v>0</v>
      </c>
      <c r="K11" s="217">
        <f t="shared" si="0"/>
        <v>1279200</v>
      </c>
      <c r="L11" s="217">
        <f t="shared" si="0"/>
        <v>0</v>
      </c>
      <c r="M11" s="217">
        <f t="shared" si="0"/>
        <v>1279195</v>
      </c>
      <c r="N11" s="217">
        <f t="shared" si="0"/>
        <v>0</v>
      </c>
      <c r="O11" s="217">
        <f t="shared" si="0"/>
        <v>1279195</v>
      </c>
    </row>
    <row r="12" spans="1:17" ht="15.75" customHeight="1" x14ac:dyDescent="0.25">
      <c r="A12" s="77"/>
      <c r="B12" s="78">
        <v>63</v>
      </c>
      <c r="C12" s="78"/>
      <c r="D12" s="78" t="s">
        <v>43</v>
      </c>
      <c r="E12" s="79"/>
      <c r="F12" s="107">
        <f>+F13+F14</f>
        <v>4908029.21</v>
      </c>
      <c r="G12" s="218">
        <f>+G13+G14</f>
        <v>818342</v>
      </c>
      <c r="H12" s="218">
        <f>+H13+H14</f>
        <v>0</v>
      </c>
      <c r="I12" s="218">
        <f>+I13+I14</f>
        <v>1070059</v>
      </c>
      <c r="J12" s="218">
        <f t="shared" ref="J12:K12" si="1">+J13+J14</f>
        <v>0</v>
      </c>
      <c r="K12" s="218">
        <f t="shared" si="1"/>
        <v>1122510</v>
      </c>
      <c r="L12" s="218">
        <f t="shared" ref="L12" si="2">+L13+L14</f>
        <v>0</v>
      </c>
      <c r="M12" s="218">
        <f t="shared" ref="M12" si="3">+M13+M14</f>
        <v>1122510</v>
      </c>
      <c r="N12" s="218">
        <f t="shared" ref="N12" si="4">+N13+N14</f>
        <v>0</v>
      </c>
      <c r="O12" s="218">
        <f t="shared" ref="O12" si="5">+O13+O14</f>
        <v>1122510</v>
      </c>
    </row>
    <row r="13" spans="1:17" x14ac:dyDescent="0.25">
      <c r="A13" s="14"/>
      <c r="B13" s="14"/>
      <c r="C13" s="15">
        <v>49</v>
      </c>
      <c r="D13" s="15" t="s">
        <v>55</v>
      </c>
      <c r="E13" s="58"/>
      <c r="F13" s="108">
        <v>4808186.18</v>
      </c>
      <c r="G13" s="219">
        <v>757777</v>
      </c>
      <c r="H13" s="219"/>
      <c r="I13" s="219">
        <v>971610</v>
      </c>
      <c r="J13" s="220"/>
      <c r="K13" s="220">
        <v>1053160</v>
      </c>
      <c r="L13" s="220">
        <f>J13</f>
        <v>0</v>
      </c>
      <c r="M13" s="220">
        <f t="shared" ref="M13:O14" si="6">K13</f>
        <v>1053160</v>
      </c>
      <c r="N13" s="220">
        <f t="shared" si="6"/>
        <v>0</v>
      </c>
      <c r="O13" s="220">
        <f t="shared" si="6"/>
        <v>1053160</v>
      </c>
    </row>
    <row r="14" spans="1:17" x14ac:dyDescent="0.25">
      <c r="A14" s="14"/>
      <c r="B14" s="31"/>
      <c r="C14" s="15">
        <v>55</v>
      </c>
      <c r="D14" s="15" t="s">
        <v>62</v>
      </c>
      <c r="E14" s="58"/>
      <c r="F14" s="108">
        <v>99843.03</v>
      </c>
      <c r="G14" s="219">
        <v>60565</v>
      </c>
      <c r="H14" s="219"/>
      <c r="I14" s="219">
        <f>24510+62939+11000</f>
        <v>98449</v>
      </c>
      <c r="J14" s="220"/>
      <c r="K14" s="220">
        <f>58350+11000</f>
        <v>69350</v>
      </c>
      <c r="L14" s="220">
        <f>J14</f>
        <v>0</v>
      </c>
      <c r="M14" s="220">
        <f t="shared" si="6"/>
        <v>69350</v>
      </c>
      <c r="N14" s="220">
        <f t="shared" si="6"/>
        <v>0</v>
      </c>
      <c r="O14" s="220">
        <f t="shared" si="6"/>
        <v>69350</v>
      </c>
    </row>
    <row r="15" spans="1:17" ht="15.75" customHeight="1" x14ac:dyDescent="0.25">
      <c r="A15" s="77"/>
      <c r="B15" s="78">
        <v>64</v>
      </c>
      <c r="C15" s="78"/>
      <c r="D15" s="78" t="s">
        <v>91</v>
      </c>
      <c r="E15" s="79"/>
      <c r="F15" s="107">
        <f>+F16</f>
        <v>0.4</v>
      </c>
      <c r="G15" s="218">
        <f>+G16</f>
        <v>6</v>
      </c>
      <c r="H15" s="218">
        <f>+H16</f>
        <v>0</v>
      </c>
      <c r="I15" s="218">
        <f>+I16</f>
        <v>0</v>
      </c>
      <c r="J15" s="218">
        <f t="shared" ref="J15:K15" si="7">+J16</f>
        <v>0</v>
      </c>
      <c r="K15" s="218">
        <f t="shared" si="7"/>
        <v>0</v>
      </c>
      <c r="L15" s="218">
        <f t="shared" ref="L15" si="8">+L16</f>
        <v>0</v>
      </c>
      <c r="M15" s="218">
        <f t="shared" ref="M15" si="9">+M16</f>
        <v>0</v>
      </c>
      <c r="N15" s="218">
        <f t="shared" ref="N15" si="10">+N16</f>
        <v>0</v>
      </c>
      <c r="O15" s="218">
        <f t="shared" ref="O15" si="11">+O16</f>
        <v>0</v>
      </c>
    </row>
    <row r="16" spans="1:17" x14ac:dyDescent="0.25">
      <c r="A16" s="14"/>
      <c r="B16" s="14"/>
      <c r="C16" s="15">
        <v>25</v>
      </c>
      <c r="D16" s="15" t="s">
        <v>80</v>
      </c>
      <c r="E16" s="58"/>
      <c r="F16" s="108">
        <v>0.4</v>
      </c>
      <c r="G16" s="219">
        <v>6</v>
      </c>
      <c r="H16" s="219"/>
      <c r="I16" s="219">
        <f>+H16/Naslovnica!$A$1</f>
        <v>0</v>
      </c>
      <c r="J16" s="220">
        <f>+K16*Naslovnica!$A$1</f>
        <v>0</v>
      </c>
      <c r="K16" s="220">
        <v>0</v>
      </c>
      <c r="L16" s="220">
        <f>+M16*Naslovnica!$A$1</f>
        <v>0</v>
      </c>
      <c r="M16" s="220">
        <v>0</v>
      </c>
      <c r="N16" s="220">
        <f>+O16*Naslovnica!$A$1</f>
        <v>0</v>
      </c>
      <c r="O16" s="220">
        <v>0</v>
      </c>
    </row>
    <row r="17" spans="1:17" ht="15.75" customHeight="1" x14ac:dyDescent="0.25">
      <c r="A17" s="77"/>
      <c r="B17" s="78">
        <v>65</v>
      </c>
      <c r="C17" s="78"/>
      <c r="D17" s="78" t="s">
        <v>93</v>
      </c>
      <c r="E17" s="79"/>
      <c r="F17" s="107">
        <f>+F18+F19</f>
        <v>134209.79999999999</v>
      </c>
      <c r="G17" s="218">
        <f t="shared" ref="G17:O17" si="12">+G18+G19</f>
        <v>14794</v>
      </c>
      <c r="H17" s="218">
        <f t="shared" si="12"/>
        <v>0</v>
      </c>
      <c r="I17" s="218">
        <f t="shared" si="12"/>
        <v>16650</v>
      </c>
      <c r="J17" s="218">
        <f t="shared" si="12"/>
        <v>0</v>
      </c>
      <c r="K17" s="218">
        <f t="shared" si="12"/>
        <v>15280</v>
      </c>
      <c r="L17" s="218">
        <f t="shared" si="12"/>
        <v>0</v>
      </c>
      <c r="M17" s="218">
        <f t="shared" si="12"/>
        <v>15280</v>
      </c>
      <c r="N17" s="218">
        <f t="shared" si="12"/>
        <v>0</v>
      </c>
      <c r="O17" s="218">
        <f t="shared" si="12"/>
        <v>15280</v>
      </c>
    </row>
    <row r="18" spans="1:17" x14ac:dyDescent="0.25">
      <c r="A18" s="14"/>
      <c r="B18" s="14"/>
      <c r="C18" s="15">
        <v>55</v>
      </c>
      <c r="D18" s="15" t="s">
        <v>62</v>
      </c>
      <c r="E18" s="58"/>
      <c r="F18" s="108">
        <v>134209.79999999999</v>
      </c>
      <c r="G18" s="219">
        <v>14794</v>
      </c>
      <c r="H18" s="219"/>
      <c r="I18" s="219">
        <v>16650</v>
      </c>
      <c r="J18" s="220"/>
      <c r="K18" s="220">
        <v>15280</v>
      </c>
      <c r="L18" s="220">
        <f>J18</f>
        <v>0</v>
      </c>
      <c r="M18" s="220">
        <f t="shared" ref="M18:O18" si="13">K18</f>
        <v>15280</v>
      </c>
      <c r="N18" s="220">
        <f t="shared" si="13"/>
        <v>0</v>
      </c>
      <c r="O18" s="220">
        <f t="shared" si="13"/>
        <v>15280</v>
      </c>
    </row>
    <row r="19" spans="1:17" x14ac:dyDescent="0.25">
      <c r="A19" s="14"/>
      <c r="B19" s="14"/>
      <c r="C19" s="15">
        <v>25</v>
      </c>
      <c r="D19" s="15" t="s">
        <v>80</v>
      </c>
      <c r="E19" s="58"/>
      <c r="F19" s="108"/>
      <c r="G19" s="219">
        <f>+F19/Naslovnica!$A$1</f>
        <v>0</v>
      </c>
      <c r="H19" s="219"/>
      <c r="I19" s="219">
        <f>+H19/Naslovnica!$A$1</f>
        <v>0</v>
      </c>
      <c r="J19" s="220">
        <f>+K19*Naslovnica!$A$1</f>
        <v>0</v>
      </c>
      <c r="K19" s="220"/>
      <c r="L19" s="220">
        <f>+M19*Naslovnica!$A$1</f>
        <v>0</v>
      </c>
      <c r="M19" s="220"/>
      <c r="N19" s="220">
        <f>+O19*Naslovnica!$A$1</f>
        <v>0</v>
      </c>
      <c r="O19" s="220"/>
    </row>
    <row r="20" spans="1:17" ht="15.75" customHeight="1" x14ac:dyDescent="0.25">
      <c r="A20" s="77"/>
      <c r="B20" s="78">
        <v>66</v>
      </c>
      <c r="C20" s="78"/>
      <c r="D20" s="78" t="s">
        <v>92</v>
      </c>
      <c r="E20" s="79"/>
      <c r="F20" s="107">
        <f>+F21+F22</f>
        <v>0</v>
      </c>
      <c r="G20" s="218">
        <f t="shared" ref="G20:O20" si="14">+G21+G22</f>
        <v>0</v>
      </c>
      <c r="H20" s="218">
        <f t="shared" si="14"/>
        <v>0</v>
      </c>
      <c r="I20" s="218">
        <f t="shared" si="14"/>
        <v>0</v>
      </c>
      <c r="J20" s="218">
        <f t="shared" si="14"/>
        <v>0</v>
      </c>
      <c r="K20" s="218">
        <f t="shared" si="14"/>
        <v>0</v>
      </c>
      <c r="L20" s="218">
        <f t="shared" si="14"/>
        <v>0</v>
      </c>
      <c r="M20" s="218">
        <f t="shared" si="14"/>
        <v>0</v>
      </c>
      <c r="N20" s="218">
        <f t="shared" si="14"/>
        <v>0</v>
      </c>
      <c r="O20" s="218">
        <f t="shared" si="14"/>
        <v>0</v>
      </c>
      <c r="P20" s="234"/>
      <c r="Q20" s="235"/>
    </row>
    <row r="21" spans="1:17" x14ac:dyDescent="0.25">
      <c r="A21" s="14"/>
      <c r="B21" s="14"/>
      <c r="C21" s="15">
        <v>55</v>
      </c>
      <c r="D21" s="15" t="s">
        <v>62</v>
      </c>
      <c r="E21" s="58"/>
      <c r="F21" s="108">
        <v>0</v>
      </c>
      <c r="G21" s="219">
        <f>+F21/Naslovnica!$A$1</f>
        <v>0</v>
      </c>
      <c r="H21" s="219"/>
      <c r="I21" s="219">
        <f>+H21/Naslovnica!$A$1</f>
        <v>0</v>
      </c>
      <c r="J21" s="220">
        <f>+K21*Naslovnica!$A$1</f>
        <v>0</v>
      </c>
      <c r="K21" s="220"/>
      <c r="L21" s="220">
        <f>+M21*Naslovnica!$A$1</f>
        <v>0</v>
      </c>
      <c r="M21" s="220"/>
      <c r="N21" s="220">
        <f>+O21*Naslovnica!$A$1</f>
        <v>0</v>
      </c>
      <c r="O21" s="220"/>
    </row>
    <row r="22" spans="1:17" x14ac:dyDescent="0.25">
      <c r="A22" s="14"/>
      <c r="B22" s="14"/>
      <c r="C22" s="15">
        <v>25</v>
      </c>
      <c r="D22" s="15" t="s">
        <v>80</v>
      </c>
      <c r="E22" s="58"/>
      <c r="F22" s="108">
        <v>0</v>
      </c>
      <c r="G22" s="219">
        <f>+F22/Naslovnica!$A$1</f>
        <v>0</v>
      </c>
      <c r="H22" s="219"/>
      <c r="I22" s="219">
        <f>+H22/Naslovnica!$A$1</f>
        <v>0</v>
      </c>
      <c r="J22" s="220">
        <f>+K22*Naslovnica!$A$1</f>
        <v>0</v>
      </c>
      <c r="K22" s="220"/>
      <c r="L22" s="220">
        <f>+M22*Naslovnica!$A$1</f>
        <v>0</v>
      </c>
      <c r="M22" s="220"/>
      <c r="N22" s="220">
        <f>+O22*Naslovnica!$A$1</f>
        <v>0</v>
      </c>
      <c r="O22" s="220"/>
    </row>
    <row r="23" spans="1:17" ht="15.75" customHeight="1" x14ac:dyDescent="0.25">
      <c r="A23" s="77"/>
      <c r="B23" s="78">
        <v>67</v>
      </c>
      <c r="C23" s="78"/>
      <c r="D23" s="78" t="s">
        <v>44</v>
      </c>
      <c r="E23" s="79"/>
      <c r="F23" s="107">
        <f>+F24+F26+F27+F28</f>
        <v>913268.2300000001</v>
      </c>
      <c r="G23" s="218">
        <f>+G24+G26+G27+G28+G25</f>
        <v>124592</v>
      </c>
      <c r="H23" s="218">
        <f>+H24+H26+H27+H28</f>
        <v>0</v>
      </c>
      <c r="I23" s="218">
        <f>SUM(I24:I28)</f>
        <v>155194</v>
      </c>
      <c r="J23" s="218">
        <f t="shared" ref="J23:K23" si="15">+J24+J26+J27+J28</f>
        <v>0</v>
      </c>
      <c r="K23" s="218">
        <f t="shared" si="15"/>
        <v>141310</v>
      </c>
      <c r="L23" s="218">
        <f t="shared" ref="L23" si="16">+L24+L26+L27+L28</f>
        <v>0</v>
      </c>
      <c r="M23" s="218">
        <f t="shared" ref="M23" si="17">+M24+M26+M27+M28</f>
        <v>141305</v>
      </c>
      <c r="N23" s="218">
        <f t="shared" ref="N23" si="18">+N24+N26+N27+N28</f>
        <v>0</v>
      </c>
      <c r="O23" s="218">
        <f t="shared" ref="O23" si="19">+O24+O26+O27+O28</f>
        <v>141305</v>
      </c>
    </row>
    <row r="24" spans="1:17" x14ac:dyDescent="0.25">
      <c r="A24" s="14"/>
      <c r="B24" s="14"/>
      <c r="C24" s="15">
        <v>11</v>
      </c>
      <c r="D24" s="89" t="s">
        <v>17</v>
      </c>
      <c r="E24" s="57"/>
      <c r="F24" s="108">
        <v>410242.8</v>
      </c>
      <c r="G24" s="219">
        <v>56876</v>
      </c>
      <c r="H24" s="219"/>
      <c r="I24" s="219">
        <v>80887</v>
      </c>
      <c r="J24" s="220"/>
      <c r="K24" s="220">
        <v>65270</v>
      </c>
      <c r="L24" s="220">
        <f>J24</f>
        <v>0</v>
      </c>
      <c r="M24" s="220">
        <f t="shared" ref="M24:O26" si="20">K24</f>
        <v>65270</v>
      </c>
      <c r="N24" s="220">
        <f t="shared" si="20"/>
        <v>0</v>
      </c>
      <c r="O24" s="220">
        <f t="shared" si="20"/>
        <v>65270</v>
      </c>
    </row>
    <row r="25" spans="1:17" x14ac:dyDescent="0.25">
      <c r="A25" s="14"/>
      <c r="B25" s="14"/>
      <c r="C25" s="15">
        <v>22</v>
      </c>
      <c r="D25" s="89"/>
      <c r="E25" s="141"/>
      <c r="F25" s="108"/>
      <c r="G25" s="219">
        <v>85</v>
      </c>
      <c r="H25" s="219"/>
      <c r="I25" s="219">
        <v>4270</v>
      </c>
      <c r="J25" s="220"/>
      <c r="K25" s="220"/>
      <c r="L25" s="220"/>
      <c r="M25" s="220"/>
      <c r="N25" s="220"/>
      <c r="O25" s="220"/>
    </row>
    <row r="26" spans="1:17" x14ac:dyDescent="0.25">
      <c r="A26" s="14"/>
      <c r="B26" s="14"/>
      <c r="C26" s="15">
        <v>31</v>
      </c>
      <c r="D26" s="89" t="s">
        <v>52</v>
      </c>
      <c r="E26" s="57"/>
      <c r="F26" s="108">
        <v>456000</v>
      </c>
      <c r="G26" s="219">
        <v>61319</v>
      </c>
      <c r="H26" s="219"/>
      <c r="I26" s="219">
        <v>63000</v>
      </c>
      <c r="J26" s="220"/>
      <c r="K26" s="220">
        <v>65000</v>
      </c>
      <c r="L26" s="220">
        <f>J26</f>
        <v>0</v>
      </c>
      <c r="M26" s="220">
        <f>K26</f>
        <v>65000</v>
      </c>
      <c r="N26" s="220">
        <f t="shared" si="20"/>
        <v>0</v>
      </c>
      <c r="O26" s="220">
        <f t="shared" si="20"/>
        <v>65000</v>
      </c>
    </row>
    <row r="27" spans="1:17" x14ac:dyDescent="0.25">
      <c r="A27" s="14"/>
      <c r="B27" s="14"/>
      <c r="C27" s="15">
        <v>42</v>
      </c>
      <c r="D27" s="89" t="s">
        <v>74</v>
      </c>
      <c r="E27" s="57"/>
      <c r="F27" s="108">
        <v>625.42999999999995</v>
      </c>
      <c r="G27" s="219">
        <v>63</v>
      </c>
      <c r="H27" s="219"/>
      <c r="I27" s="219">
        <v>65</v>
      </c>
      <c r="J27" s="220"/>
      <c r="K27" s="220">
        <v>70</v>
      </c>
      <c r="L27" s="220"/>
      <c r="M27" s="220">
        <v>65</v>
      </c>
      <c r="N27" s="220"/>
      <c r="O27" s="220">
        <v>65</v>
      </c>
    </row>
    <row r="28" spans="1:17" x14ac:dyDescent="0.25">
      <c r="A28" s="14"/>
      <c r="B28" s="14"/>
      <c r="C28" s="15">
        <v>44</v>
      </c>
      <c r="D28" s="15" t="s">
        <v>62</v>
      </c>
      <c r="E28" s="57"/>
      <c r="F28" s="108">
        <v>46400</v>
      </c>
      <c r="G28" s="219">
        <v>6249</v>
      </c>
      <c r="H28" s="219"/>
      <c r="I28" s="219">
        <v>6972</v>
      </c>
      <c r="J28" s="220"/>
      <c r="K28" s="220">
        <v>10970</v>
      </c>
      <c r="L28" s="220">
        <f>J28</f>
        <v>0</v>
      </c>
      <c r="M28" s="220">
        <f>K28</f>
        <v>10970</v>
      </c>
      <c r="N28" s="220">
        <f t="shared" ref="N28:O28" si="21">L28</f>
        <v>0</v>
      </c>
      <c r="O28" s="220">
        <f t="shared" si="21"/>
        <v>10970</v>
      </c>
    </row>
    <row r="29" spans="1:17" ht="15.75" customHeight="1" x14ac:dyDescent="0.25">
      <c r="A29" s="77"/>
      <c r="B29" s="78">
        <v>68</v>
      </c>
      <c r="C29" s="78"/>
      <c r="D29" s="78" t="s">
        <v>96</v>
      </c>
      <c r="E29" s="79"/>
      <c r="F29" s="107">
        <f>+F30+F31+F32+F33</f>
        <v>334</v>
      </c>
      <c r="G29" s="218">
        <f>+G30+G31+G32+G33</f>
        <v>232</v>
      </c>
      <c r="H29" s="218">
        <f>+H30+H31+H32+H33</f>
        <v>0</v>
      </c>
      <c r="I29" s="218">
        <f>+I30+I31+I32+I33</f>
        <v>100</v>
      </c>
      <c r="J29" s="218">
        <f t="shared" ref="J29:O29" si="22">+J30+J31+J32+J33</f>
        <v>0</v>
      </c>
      <c r="K29" s="218">
        <f t="shared" si="22"/>
        <v>100</v>
      </c>
      <c r="L29" s="218">
        <f t="shared" si="22"/>
        <v>0</v>
      </c>
      <c r="M29" s="218">
        <f t="shared" si="22"/>
        <v>100</v>
      </c>
      <c r="N29" s="218">
        <f t="shared" si="22"/>
        <v>0</v>
      </c>
      <c r="O29" s="218">
        <f t="shared" si="22"/>
        <v>100</v>
      </c>
    </row>
    <row r="30" spans="1:17" x14ac:dyDescent="0.25">
      <c r="A30" s="14"/>
      <c r="B30" s="14"/>
      <c r="C30" s="15">
        <v>55</v>
      </c>
      <c r="D30" s="18" t="s">
        <v>17</v>
      </c>
      <c r="E30" s="57"/>
      <c r="F30" s="108">
        <v>334</v>
      </c>
      <c r="G30" s="219">
        <v>232</v>
      </c>
      <c r="H30" s="219"/>
      <c r="I30" s="219">
        <v>100</v>
      </c>
      <c r="J30" s="220"/>
      <c r="K30" s="220">
        <v>100</v>
      </c>
      <c r="L30" s="220">
        <f>J30</f>
        <v>0</v>
      </c>
      <c r="M30" s="220">
        <f t="shared" ref="M30:O30" si="23">K30</f>
        <v>100</v>
      </c>
      <c r="N30" s="220">
        <f t="shared" si="23"/>
        <v>0</v>
      </c>
      <c r="O30" s="220">
        <f t="shared" si="23"/>
        <v>100</v>
      </c>
    </row>
    <row r="31" spans="1:17" s="65" customFormat="1" ht="15.75" customHeight="1" x14ac:dyDescent="0.25">
      <c r="A31" s="80">
        <v>7</v>
      </c>
      <c r="B31" s="80"/>
      <c r="C31" s="80"/>
      <c r="D31" s="80" t="s">
        <v>18</v>
      </c>
      <c r="E31" s="81"/>
      <c r="F31" s="110">
        <f t="shared" ref="F31:I32" si="24">+F32</f>
        <v>0</v>
      </c>
      <c r="G31" s="217">
        <f t="shared" si="24"/>
        <v>0</v>
      </c>
      <c r="H31" s="217">
        <f t="shared" si="24"/>
        <v>0</v>
      </c>
      <c r="I31" s="217">
        <f t="shared" si="24"/>
        <v>0</v>
      </c>
      <c r="J31" s="217">
        <f t="shared" ref="J31:K35" si="25">+J32</f>
        <v>0</v>
      </c>
      <c r="K31" s="217">
        <f t="shared" si="25"/>
        <v>0</v>
      </c>
      <c r="L31" s="217">
        <f t="shared" ref="L31:L35" si="26">+L32</f>
        <v>0</v>
      </c>
      <c r="M31" s="217">
        <f t="shared" ref="M31:M35" si="27">+M32</f>
        <v>0</v>
      </c>
      <c r="N31" s="217">
        <f t="shared" ref="N31:N35" si="28">+N32</f>
        <v>0</v>
      </c>
      <c r="O31" s="217">
        <f t="shared" ref="O31:O35" si="29">+O32</f>
        <v>0</v>
      </c>
    </row>
    <row r="32" spans="1:17" ht="15.75" customHeight="1" x14ac:dyDescent="0.25">
      <c r="A32" s="77"/>
      <c r="B32" s="78">
        <v>72</v>
      </c>
      <c r="C32" s="78"/>
      <c r="D32" s="78" t="s">
        <v>42</v>
      </c>
      <c r="E32" s="79"/>
      <c r="F32" s="107">
        <f t="shared" si="24"/>
        <v>0</v>
      </c>
      <c r="G32" s="218">
        <f t="shared" si="24"/>
        <v>0</v>
      </c>
      <c r="H32" s="218">
        <f t="shared" si="24"/>
        <v>0</v>
      </c>
      <c r="I32" s="218">
        <f t="shared" si="24"/>
        <v>0</v>
      </c>
      <c r="J32" s="218">
        <f t="shared" si="25"/>
        <v>0</v>
      </c>
      <c r="K32" s="218">
        <f t="shared" si="25"/>
        <v>0</v>
      </c>
      <c r="L32" s="218">
        <f t="shared" si="26"/>
        <v>0</v>
      </c>
      <c r="M32" s="218">
        <f t="shared" si="27"/>
        <v>0</v>
      </c>
      <c r="N32" s="218">
        <f t="shared" si="28"/>
        <v>0</v>
      </c>
      <c r="O32" s="218">
        <f t="shared" si="29"/>
        <v>0</v>
      </c>
    </row>
    <row r="33" spans="1:17" x14ac:dyDescent="0.25">
      <c r="A33" s="18"/>
      <c r="B33" s="18"/>
      <c r="C33" s="15">
        <v>55</v>
      </c>
      <c r="D33" s="15" t="s">
        <v>62</v>
      </c>
      <c r="E33" s="58"/>
      <c r="F33" s="108">
        <v>0</v>
      </c>
      <c r="G33" s="219">
        <f>+F33/Naslovnica!$A$1</f>
        <v>0</v>
      </c>
      <c r="H33" s="219"/>
      <c r="I33" s="219">
        <f>+H33/Naslovnica!$A$1</f>
        <v>0</v>
      </c>
      <c r="J33" s="220">
        <f>+K33*Naslovnica!$A$1</f>
        <v>0</v>
      </c>
      <c r="K33" s="220"/>
      <c r="L33" s="220">
        <f>+M33*Naslovnica!$A$1</f>
        <v>0</v>
      </c>
      <c r="M33" s="220"/>
      <c r="N33" s="220">
        <f>+O33*Naslovnica!$A$1</f>
        <v>0</v>
      </c>
      <c r="O33" s="220"/>
    </row>
    <row r="34" spans="1:17" s="65" customFormat="1" ht="15.75" customHeight="1" x14ac:dyDescent="0.25">
      <c r="A34" s="80">
        <v>9</v>
      </c>
      <c r="B34" s="80"/>
      <c r="C34" s="80"/>
      <c r="D34" s="80" t="s">
        <v>94</v>
      </c>
      <c r="E34" s="81"/>
      <c r="F34" s="110">
        <f t="shared" ref="F34:F35" si="30">+F35</f>
        <v>-9953.7199999999993</v>
      </c>
      <c r="G34" s="217">
        <f t="shared" ref="G34:G35" si="31">+G35</f>
        <v>-1902</v>
      </c>
      <c r="H34" s="217">
        <f t="shared" ref="H34:H35" si="32">+H35</f>
        <v>0</v>
      </c>
      <c r="I34" s="217">
        <f t="shared" ref="I34:I35" si="33">+I35</f>
        <v>-1902</v>
      </c>
      <c r="J34" s="217">
        <f t="shared" si="25"/>
        <v>0</v>
      </c>
      <c r="K34" s="217">
        <f t="shared" si="25"/>
        <v>0</v>
      </c>
      <c r="L34" s="217">
        <f t="shared" si="26"/>
        <v>0</v>
      </c>
      <c r="M34" s="217">
        <f t="shared" si="27"/>
        <v>0</v>
      </c>
      <c r="N34" s="217">
        <f t="shared" si="28"/>
        <v>0</v>
      </c>
      <c r="O34" s="217">
        <f t="shared" si="29"/>
        <v>0</v>
      </c>
    </row>
    <row r="35" spans="1:17" ht="15.75" customHeight="1" x14ac:dyDescent="0.25">
      <c r="A35" s="77"/>
      <c r="B35" s="78">
        <v>92</v>
      </c>
      <c r="C35" s="78"/>
      <c r="D35" s="78" t="s">
        <v>95</v>
      </c>
      <c r="E35" s="79"/>
      <c r="F35" s="107">
        <f t="shared" si="30"/>
        <v>-9953.7199999999993</v>
      </c>
      <c r="G35" s="218">
        <f t="shared" si="31"/>
        <v>-1902</v>
      </c>
      <c r="H35" s="218">
        <f t="shared" si="32"/>
        <v>0</v>
      </c>
      <c r="I35" s="218">
        <f t="shared" si="33"/>
        <v>-1902</v>
      </c>
      <c r="J35" s="218">
        <f t="shared" si="25"/>
        <v>0</v>
      </c>
      <c r="K35" s="218">
        <f t="shared" si="25"/>
        <v>0</v>
      </c>
      <c r="L35" s="218">
        <f t="shared" si="26"/>
        <v>0</v>
      </c>
      <c r="M35" s="218">
        <f t="shared" si="27"/>
        <v>0</v>
      </c>
      <c r="N35" s="218">
        <f t="shared" si="28"/>
        <v>0</v>
      </c>
      <c r="O35" s="218">
        <f t="shared" si="29"/>
        <v>0</v>
      </c>
    </row>
    <row r="36" spans="1:17" x14ac:dyDescent="0.25">
      <c r="A36" s="18"/>
      <c r="B36" s="18"/>
      <c r="C36" s="15">
        <v>29</v>
      </c>
      <c r="D36" s="15" t="s">
        <v>61</v>
      </c>
      <c r="E36" s="58"/>
      <c r="F36" s="108">
        <v>-9953.7199999999993</v>
      </c>
      <c r="G36" s="219">
        <v>-1902</v>
      </c>
      <c r="H36" s="219"/>
      <c r="I36" s="219">
        <v>-1902</v>
      </c>
      <c r="J36" s="109">
        <f>+K36*Naslovnica!$A$1</f>
        <v>0</v>
      </c>
      <c r="K36" s="109"/>
      <c r="L36" s="109">
        <f>+M36*Naslovnica!$A$1</f>
        <v>0</v>
      </c>
      <c r="M36" s="109"/>
      <c r="N36" s="109">
        <f>+O36*Naslovnica!$A$1</f>
        <v>0</v>
      </c>
      <c r="O36" s="109"/>
    </row>
    <row r="38" spans="1:17" ht="15.75" customHeight="1" x14ac:dyDescent="0.25">
      <c r="A38" s="149" t="s">
        <v>19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ht="18" x14ac:dyDescent="0.25">
      <c r="A39" s="5"/>
      <c r="B39" s="5"/>
      <c r="C39" s="5"/>
      <c r="D39" s="5"/>
      <c r="E39" s="28"/>
      <c r="F39" s="5"/>
      <c r="G39" s="28"/>
      <c r="H39" s="5"/>
      <c r="I39" s="28"/>
      <c r="J39" s="5"/>
      <c r="K39" s="28"/>
      <c r="L39" s="6"/>
      <c r="M39" s="6"/>
      <c r="N39" s="6"/>
      <c r="O39" s="6"/>
    </row>
    <row r="40" spans="1:17" ht="30" customHeight="1" x14ac:dyDescent="0.25">
      <c r="A40" s="24" t="s">
        <v>13</v>
      </c>
      <c r="B40" s="23" t="s">
        <v>14</v>
      </c>
      <c r="C40" s="23" t="s">
        <v>15</v>
      </c>
      <c r="D40" s="23" t="s">
        <v>20</v>
      </c>
      <c r="E40" s="23"/>
      <c r="F40" s="177" t="s">
        <v>137</v>
      </c>
      <c r="G40" s="178"/>
      <c r="H40" s="177" t="s">
        <v>138</v>
      </c>
      <c r="I40" s="178"/>
      <c r="J40" s="177" t="s">
        <v>141</v>
      </c>
      <c r="K40" s="178"/>
      <c r="L40" s="177" t="s">
        <v>97</v>
      </c>
      <c r="M40" s="182"/>
      <c r="N40" s="177" t="s">
        <v>140</v>
      </c>
      <c r="O40" s="182"/>
    </row>
    <row r="41" spans="1:17" x14ac:dyDescent="0.25">
      <c r="A41" s="24"/>
      <c r="B41" s="23"/>
      <c r="C41" s="23"/>
      <c r="D41" s="23"/>
      <c r="E41" s="23"/>
      <c r="F41" s="111" t="s">
        <v>47</v>
      </c>
      <c r="G41" s="111" t="s">
        <v>48</v>
      </c>
      <c r="H41" s="111" t="s">
        <v>47</v>
      </c>
      <c r="I41" s="111" t="s">
        <v>48</v>
      </c>
      <c r="J41" s="23" t="s">
        <v>47</v>
      </c>
      <c r="K41" s="23" t="s">
        <v>48</v>
      </c>
      <c r="L41" s="23" t="s">
        <v>47</v>
      </c>
      <c r="M41" s="23" t="s">
        <v>48</v>
      </c>
      <c r="N41" s="23" t="s">
        <v>47</v>
      </c>
      <c r="O41" s="23" t="s">
        <v>48</v>
      </c>
    </row>
    <row r="42" spans="1:17" s="65" customFormat="1" ht="15.75" customHeight="1" x14ac:dyDescent="0.25">
      <c r="A42" s="80">
        <v>3</v>
      </c>
      <c r="B42" s="80"/>
      <c r="C42" s="80"/>
      <c r="D42" s="80" t="s">
        <v>21</v>
      </c>
      <c r="E42" s="81"/>
      <c r="F42" s="110">
        <f>+F43+F52+F62+F71+F81</f>
        <v>5771292.29</v>
      </c>
      <c r="G42" s="217">
        <f>+G43+G52+G62+G71+G81</f>
        <v>942521</v>
      </c>
      <c r="H42" s="217">
        <f>+H43+H52+H62+H71+H81</f>
        <v>0</v>
      </c>
      <c r="I42" s="217">
        <f>+I43+I52+I62+I71+I81</f>
        <v>1223101</v>
      </c>
      <c r="J42" s="217">
        <f t="shared" ref="J42:O42" si="34">+J43+J52+J62+J71+J81</f>
        <v>0</v>
      </c>
      <c r="K42" s="217">
        <f t="shared" si="34"/>
        <v>1260200</v>
      </c>
      <c r="L42" s="217">
        <f t="shared" si="34"/>
        <v>0</v>
      </c>
      <c r="M42" s="217">
        <f t="shared" si="34"/>
        <v>1260195</v>
      </c>
      <c r="N42" s="217">
        <f t="shared" si="34"/>
        <v>0</v>
      </c>
      <c r="O42" s="217">
        <f t="shared" si="34"/>
        <v>1260195</v>
      </c>
    </row>
    <row r="43" spans="1:17" ht="15.75" customHeight="1" x14ac:dyDescent="0.25">
      <c r="A43" s="77"/>
      <c r="B43" s="78">
        <v>31</v>
      </c>
      <c r="C43" s="78"/>
      <c r="D43" s="78" t="s">
        <v>22</v>
      </c>
      <c r="E43" s="79"/>
      <c r="F43" s="107">
        <f>SUM(F44:F51)</f>
        <v>4837560.97</v>
      </c>
      <c r="G43" s="218">
        <f t="shared" ref="G43:O43" si="35">SUM(G44:G51)</f>
        <v>772802</v>
      </c>
      <c r="H43" s="218">
        <f t="shared" si="35"/>
        <v>0</v>
      </c>
      <c r="I43" s="218">
        <f t="shared" si="35"/>
        <v>1025112</v>
      </c>
      <c r="J43" s="221">
        <f t="shared" si="35"/>
        <v>0</v>
      </c>
      <c r="K43" s="221">
        <f t="shared" si="35"/>
        <v>1085750</v>
      </c>
      <c r="L43" s="221">
        <f t="shared" si="35"/>
        <v>0</v>
      </c>
      <c r="M43" s="221">
        <f t="shared" si="35"/>
        <v>1085750</v>
      </c>
      <c r="N43" s="221">
        <f t="shared" si="35"/>
        <v>0</v>
      </c>
      <c r="O43" s="221">
        <f t="shared" si="35"/>
        <v>1085750</v>
      </c>
      <c r="P43" s="90"/>
    </row>
    <row r="44" spans="1:17" s="87" customFormat="1" x14ac:dyDescent="0.25">
      <c r="A44" s="14"/>
      <c r="B44" s="14"/>
      <c r="C44" s="14">
        <v>11</v>
      </c>
      <c r="D44" s="14" t="s">
        <v>17</v>
      </c>
      <c r="E44" s="86"/>
      <c r="F44" s="108">
        <f>+'POSEBNI DIO'!F40+'POSEBNI DIO'!F70+'POSEBNI DIO'!F65</f>
        <v>190645.03999999998</v>
      </c>
      <c r="G44" s="219">
        <f>27584+1501+4545</f>
        <v>33630</v>
      </c>
      <c r="H44" s="219">
        <f>+'POSEBNI DIO'!H40+'POSEBNI DIO'!H70+'POSEBNI DIO'!H65</f>
        <v>0</v>
      </c>
      <c r="I44" s="219">
        <f>23500+900+200+300+3920+11700+1930+12000+1100+400+600+1980</f>
        <v>58530</v>
      </c>
      <c r="J44" s="10">
        <f>+'POSEBNI DIO'!J40+'POSEBNI DIO'!J70+'POSEBNI DIO'!J65</f>
        <v>0</v>
      </c>
      <c r="K44" s="10">
        <f>28000+400+300+4620+13980+1200+600+400+800+7300</f>
        <v>57600</v>
      </c>
      <c r="L44" s="10">
        <f>+'POSEBNI DIO'!L40+'POSEBNI DIO'!L70+'POSEBNI DIO'!L65</f>
        <v>0</v>
      </c>
      <c r="M44" s="10">
        <f>+'POSEBNI DIO'!M40+'POSEBNI DIO'!M70+'POSEBNI DIO'!M65</f>
        <v>57600</v>
      </c>
      <c r="N44" s="10">
        <f>+'POSEBNI DIO'!N40+'POSEBNI DIO'!N70+'POSEBNI DIO'!N65</f>
        <v>0</v>
      </c>
      <c r="O44" s="10">
        <f>+'POSEBNI DIO'!O40+'POSEBNI DIO'!O70+'POSEBNI DIO'!O65</f>
        <v>57600</v>
      </c>
    </row>
    <row r="45" spans="1:17" s="87" customFormat="1" x14ac:dyDescent="0.25">
      <c r="A45" s="14"/>
      <c r="B45" s="31"/>
      <c r="C45" s="14">
        <v>31</v>
      </c>
      <c r="D45" s="18" t="s">
        <v>52</v>
      </c>
      <c r="E45" s="86"/>
      <c r="F45" s="108">
        <v>0</v>
      </c>
      <c r="G45" s="219">
        <v>0</v>
      </c>
      <c r="H45" s="219">
        <v>0</v>
      </c>
      <c r="I45" s="219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</row>
    <row r="46" spans="1:17" s="87" customFormat="1" x14ac:dyDescent="0.25">
      <c r="A46" s="14"/>
      <c r="B46" s="31"/>
      <c r="C46" s="14">
        <v>42</v>
      </c>
      <c r="D46" s="18" t="s">
        <v>74</v>
      </c>
      <c r="E46" s="86"/>
      <c r="F46" s="108">
        <v>0</v>
      </c>
      <c r="G46" s="219">
        <v>0</v>
      </c>
      <c r="H46" s="219">
        <v>0</v>
      </c>
      <c r="I46" s="219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</row>
    <row r="47" spans="1:17" s="87" customFormat="1" x14ac:dyDescent="0.25">
      <c r="A47" s="14"/>
      <c r="B47" s="31"/>
      <c r="C47" s="14">
        <v>44</v>
      </c>
      <c r="D47" s="18" t="s">
        <v>68</v>
      </c>
      <c r="E47" s="86"/>
      <c r="F47" s="108">
        <f>+'POSEBNI DIO'!F74</f>
        <v>34412.980000000003</v>
      </c>
      <c r="G47" s="219">
        <f>3504+499+584</f>
        <v>4587</v>
      </c>
      <c r="H47" s="219">
        <f>+'POSEBNI DIO'!H74</f>
        <v>0</v>
      </c>
      <c r="I47" s="219">
        <f>4869+803</f>
        <v>5672</v>
      </c>
      <c r="J47" s="10">
        <f>+'POSEBNI DIO'!J74</f>
        <v>0</v>
      </c>
      <c r="K47" s="10">
        <f>9670</f>
        <v>9670</v>
      </c>
      <c r="L47" s="10">
        <f>+'POSEBNI DIO'!L74</f>
        <v>0</v>
      </c>
      <c r="M47" s="10">
        <f>+'POSEBNI DIO'!M74</f>
        <v>9670</v>
      </c>
      <c r="N47" s="10">
        <f>+'POSEBNI DIO'!N74</f>
        <v>0</v>
      </c>
      <c r="O47" s="10">
        <f>+'POSEBNI DIO'!O74</f>
        <v>9670</v>
      </c>
      <c r="Q47" s="236"/>
    </row>
    <row r="48" spans="1:17" s="87" customFormat="1" x14ac:dyDescent="0.25">
      <c r="A48" s="14"/>
      <c r="B48" s="14"/>
      <c r="C48" s="14">
        <v>49</v>
      </c>
      <c r="D48" s="14" t="s">
        <v>55</v>
      </c>
      <c r="E48" s="86"/>
      <c r="F48" s="108">
        <f>+'POSEBNI DIO'!F16</f>
        <v>4575953.3</v>
      </c>
      <c r="G48" s="219">
        <f>597535+30593+98593</f>
        <v>726721</v>
      </c>
      <c r="H48" s="219">
        <f>+'POSEBNI DIO'!H16</f>
        <v>0</v>
      </c>
      <c r="I48" s="219">
        <f>971610-44000</f>
        <v>927610</v>
      </c>
      <c r="J48" s="10">
        <f>+'POSEBNI DIO'!J16</f>
        <v>0</v>
      </c>
      <c r="K48" s="10">
        <f>1053160-44000</f>
        <v>1009160</v>
      </c>
      <c r="L48" s="10">
        <f>+'POSEBNI DIO'!L16</f>
        <v>0</v>
      </c>
      <c r="M48" s="10">
        <f>+'POSEBNI DIO'!M16</f>
        <v>1009160</v>
      </c>
      <c r="N48" s="10">
        <f>+'POSEBNI DIO'!N16</f>
        <v>0</v>
      </c>
      <c r="O48" s="10">
        <f>+'POSEBNI DIO'!O16</f>
        <v>1009160</v>
      </c>
    </row>
    <row r="49" spans="1:17" s="87" customFormat="1" x14ac:dyDescent="0.25">
      <c r="A49" s="14"/>
      <c r="B49" s="31"/>
      <c r="C49" s="14">
        <v>55</v>
      </c>
      <c r="D49" s="14" t="s">
        <v>62</v>
      </c>
      <c r="E49" s="86"/>
      <c r="F49" s="108">
        <f>+'POSEBNI DIO'!F45</f>
        <v>36549.65</v>
      </c>
      <c r="G49" s="219">
        <f>6750+1114</f>
        <v>7864</v>
      </c>
      <c r="H49" s="219">
        <f>+'POSEBNI DIO'!H45</f>
        <v>0</v>
      </c>
      <c r="I49" s="219">
        <f>20570+3390+8000+1340</f>
        <v>33300</v>
      </c>
      <c r="J49" s="10">
        <f>+'POSEBNI DIO'!J45</f>
        <v>0</v>
      </c>
      <c r="K49" s="10">
        <f>9320</f>
        <v>9320</v>
      </c>
      <c r="L49" s="10">
        <f>+'POSEBNI DIO'!L45</f>
        <v>0</v>
      </c>
      <c r="M49" s="10">
        <f>+'POSEBNI DIO'!M45</f>
        <v>9320</v>
      </c>
      <c r="N49" s="10">
        <f>+'POSEBNI DIO'!N45</f>
        <v>0</v>
      </c>
      <c r="O49" s="10">
        <f>+'POSEBNI DIO'!O45</f>
        <v>9320</v>
      </c>
    </row>
    <row r="50" spans="1:17" s="87" customFormat="1" x14ac:dyDescent="0.25">
      <c r="A50" s="14"/>
      <c r="B50" s="31"/>
      <c r="C50" s="14">
        <v>25</v>
      </c>
      <c r="D50" s="14" t="s">
        <v>80</v>
      </c>
      <c r="E50" s="86"/>
      <c r="F50" s="108">
        <v>0</v>
      </c>
      <c r="G50" s="219">
        <v>0</v>
      </c>
      <c r="H50" s="219">
        <v>0</v>
      </c>
      <c r="I50" s="219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</row>
    <row r="51" spans="1:17" s="87" customFormat="1" x14ac:dyDescent="0.25">
      <c r="A51" s="14"/>
      <c r="B51" s="31"/>
      <c r="C51" s="14">
        <v>29</v>
      </c>
      <c r="D51" s="14" t="s">
        <v>61</v>
      </c>
      <c r="E51" s="86"/>
      <c r="F51" s="108">
        <v>0</v>
      </c>
      <c r="G51" s="219">
        <v>0</v>
      </c>
      <c r="H51" s="219">
        <v>0</v>
      </c>
      <c r="I51" s="219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</row>
    <row r="52" spans="1:17" ht="15.75" customHeight="1" x14ac:dyDescent="0.25">
      <c r="A52" s="77"/>
      <c r="B52" s="78">
        <v>32</v>
      </c>
      <c r="C52" s="78"/>
      <c r="D52" s="78" t="s">
        <v>34</v>
      </c>
      <c r="E52" s="79"/>
      <c r="F52" s="107">
        <f>SUM(F53:F61)</f>
        <v>811982.34000000008</v>
      </c>
      <c r="G52" s="218">
        <f t="shared" ref="G52:O52" si="36">SUM(G53:G61)</f>
        <v>155060</v>
      </c>
      <c r="H52" s="218">
        <f t="shared" si="36"/>
        <v>0</v>
      </c>
      <c r="I52" s="218">
        <f t="shared" si="36"/>
        <v>180214</v>
      </c>
      <c r="J52" s="221">
        <f t="shared" si="36"/>
        <v>0</v>
      </c>
      <c r="K52" s="221">
        <f t="shared" si="36"/>
        <v>171250</v>
      </c>
      <c r="L52" s="221">
        <f t="shared" si="36"/>
        <v>0</v>
      </c>
      <c r="M52" s="221">
        <f t="shared" si="36"/>
        <v>171245</v>
      </c>
      <c r="N52" s="221">
        <f t="shared" si="36"/>
        <v>0</v>
      </c>
      <c r="O52" s="221">
        <f t="shared" si="36"/>
        <v>171245</v>
      </c>
    </row>
    <row r="53" spans="1:17" s="87" customFormat="1" x14ac:dyDescent="0.25">
      <c r="A53" s="14"/>
      <c r="B53" s="14"/>
      <c r="C53" s="14">
        <v>11</v>
      </c>
      <c r="D53" s="14" t="s">
        <v>17</v>
      </c>
      <c r="E53" s="86"/>
      <c r="F53" s="108">
        <f>+'POSEBNI DIO'!F23+'POSEBNI DIO'!F41+'POSEBNI DIO'!F66+'POSEBNI DIO'!F71+'POSEBNI DIO'!F56</f>
        <v>135660.68</v>
      </c>
      <c r="G53" s="219">
        <f>229+9635</f>
        <v>9864</v>
      </c>
      <c r="H53" s="219">
        <f>+'POSEBNI DIO'!H23+'POSEBNI DIO'!H41+'POSEBNI DIO'!H66+'POSEBNI DIO'!H71+'POSEBNI DIO'!H56</f>
        <v>0</v>
      </c>
      <c r="I53" s="219">
        <f>600+4000+1040+120+500</f>
        <v>6260</v>
      </c>
      <c r="J53" s="10">
        <f>+'POSEBNI DIO'!J23+'POSEBNI DIO'!J41+'POSEBNI DIO'!J66+'POSEBNI DIO'!J71+'POSEBNI DIO'!J56</f>
        <v>0</v>
      </c>
      <c r="K53" s="10">
        <f>4200+950+120+400</f>
        <v>5670</v>
      </c>
      <c r="L53" s="10">
        <f>+'POSEBNI DIO'!L23+'POSEBNI DIO'!L41+'POSEBNI DIO'!L66+'POSEBNI DIO'!L71+'POSEBNI DIO'!L56</f>
        <v>0</v>
      </c>
      <c r="M53" s="10">
        <f>+'POSEBNI DIO'!M23+'POSEBNI DIO'!M41+'POSEBNI DIO'!M66+'POSEBNI DIO'!M71+'POSEBNI DIO'!M56</f>
        <v>5670</v>
      </c>
      <c r="N53" s="10">
        <f>+'POSEBNI DIO'!N23+'POSEBNI DIO'!N41+'POSEBNI DIO'!N66+'POSEBNI DIO'!N71+'POSEBNI DIO'!N56</f>
        <v>0</v>
      </c>
      <c r="O53" s="10">
        <f>+'POSEBNI DIO'!O23+'POSEBNI DIO'!O41+'POSEBNI DIO'!O66+'POSEBNI DIO'!O71+'POSEBNI DIO'!O56</f>
        <v>5670</v>
      </c>
    </row>
    <row r="54" spans="1:17" s="87" customFormat="1" x14ac:dyDescent="0.25">
      <c r="A54" s="14"/>
      <c r="B54" s="14"/>
      <c r="C54" s="14">
        <v>22</v>
      </c>
      <c r="D54" s="14"/>
      <c r="E54" s="86"/>
      <c r="F54" s="108"/>
      <c r="G54" s="219"/>
      <c r="H54" s="219"/>
      <c r="I54" s="219">
        <v>4270</v>
      </c>
      <c r="J54" s="10"/>
      <c r="K54" s="10"/>
      <c r="L54" s="10"/>
      <c r="M54" s="10"/>
      <c r="N54" s="10"/>
      <c r="O54" s="10"/>
    </row>
    <row r="55" spans="1:17" s="87" customFormat="1" x14ac:dyDescent="0.25">
      <c r="A55" s="14"/>
      <c r="B55" s="31"/>
      <c r="C55" s="14">
        <v>31</v>
      </c>
      <c r="D55" s="18" t="s">
        <v>52</v>
      </c>
      <c r="E55" s="86"/>
      <c r="F55" s="108">
        <f>+'POSEBNI DIO'!F11</f>
        <v>393169.08</v>
      </c>
      <c r="G55" s="219">
        <f>2543+20729+27885+1561</f>
        <v>52718</v>
      </c>
      <c r="H55" s="219">
        <f>+'POSEBNI DIO'!H11</f>
        <v>0</v>
      </c>
      <c r="I55" s="219">
        <f>57000-650-500</f>
        <v>55850</v>
      </c>
      <c r="J55" s="10">
        <f>+'POSEBNI DIO'!J11</f>
        <v>0</v>
      </c>
      <c r="K55" s="10">
        <f>57000-600</f>
        <v>56400</v>
      </c>
      <c r="L55" s="10">
        <f>+'POSEBNI DIO'!L11</f>
        <v>0</v>
      </c>
      <c r="M55" s="10">
        <f>'POSEBNI DIO'!M11</f>
        <v>56400</v>
      </c>
      <c r="N55" s="10">
        <f>+'POSEBNI DIO'!N11</f>
        <v>0</v>
      </c>
      <c r="O55" s="10">
        <f>+'POSEBNI DIO'!O11</f>
        <v>56400</v>
      </c>
    </row>
    <row r="56" spans="1:17" s="87" customFormat="1" x14ac:dyDescent="0.25">
      <c r="A56" s="14"/>
      <c r="B56" s="31"/>
      <c r="C56" s="14">
        <v>42</v>
      </c>
      <c r="D56" s="18" t="s">
        <v>74</v>
      </c>
      <c r="E56" s="86"/>
      <c r="F56" s="108">
        <f>+'POSEBNI DIO'!F83</f>
        <v>625.42999999999995</v>
      </c>
      <c r="G56" s="219">
        <v>63</v>
      </c>
      <c r="H56" s="219">
        <f>+'POSEBNI DIO'!H83</f>
        <v>0</v>
      </c>
      <c r="I56" s="219">
        <v>65</v>
      </c>
      <c r="J56" s="10">
        <f>+'POSEBNI DIO'!J83</f>
        <v>0</v>
      </c>
      <c r="K56" s="10">
        <v>70</v>
      </c>
      <c r="L56" s="10">
        <f>+'POSEBNI DIO'!L83</f>
        <v>0</v>
      </c>
      <c r="M56" s="10">
        <f>+'POSEBNI DIO'!M83</f>
        <v>65</v>
      </c>
      <c r="N56" s="10">
        <f>+'POSEBNI DIO'!N83</f>
        <v>0</v>
      </c>
      <c r="O56" s="10">
        <f>+'POSEBNI DIO'!O83</f>
        <v>65</v>
      </c>
    </row>
    <row r="57" spans="1:17" s="87" customFormat="1" x14ac:dyDescent="0.25">
      <c r="A57" s="14"/>
      <c r="B57" s="31"/>
      <c r="C57" s="14">
        <v>44</v>
      </c>
      <c r="D57" s="18" t="s">
        <v>68</v>
      </c>
      <c r="E57" s="86"/>
      <c r="F57" s="108">
        <f>+'POSEBNI DIO'!F75+'POSEBNI DIO'!F87</f>
        <v>11987.02</v>
      </c>
      <c r="G57" s="219">
        <f>401+1261</f>
        <v>1662</v>
      </c>
      <c r="H57" s="219">
        <f>+'POSEBNI DIO'!H75+'POSEBNI DIO'!H87</f>
        <v>0</v>
      </c>
      <c r="I57" s="219">
        <v>1300</v>
      </c>
      <c r="J57" s="10">
        <f>+'POSEBNI DIO'!J75+'POSEBNI DIO'!J87</f>
        <v>0</v>
      </c>
      <c r="K57" s="10">
        <v>1300</v>
      </c>
      <c r="L57" s="10">
        <f>+'POSEBNI DIO'!L75+'POSEBNI DIO'!L87</f>
        <v>0</v>
      </c>
      <c r="M57" s="10">
        <f>+'POSEBNI DIO'!M75+'POSEBNI DIO'!M87</f>
        <v>1300</v>
      </c>
      <c r="N57" s="10">
        <f>+'POSEBNI DIO'!N75+'POSEBNI DIO'!N87</f>
        <v>0</v>
      </c>
      <c r="O57" s="10">
        <f>+'POSEBNI DIO'!O75+'POSEBNI DIO'!O87</f>
        <v>1300</v>
      </c>
      <c r="Q57" s="236"/>
    </row>
    <row r="58" spans="1:17" s="87" customFormat="1" x14ac:dyDescent="0.25">
      <c r="A58" s="14"/>
      <c r="B58" s="14"/>
      <c r="C58" s="14">
        <v>49</v>
      </c>
      <c r="D58" s="14" t="s">
        <v>55</v>
      </c>
      <c r="E58" s="86"/>
      <c r="F58" s="108">
        <f>+'POSEBNI DIO'!F17</f>
        <v>202329.33</v>
      </c>
      <c r="G58" s="219">
        <f>27991+3064</f>
        <v>31055</v>
      </c>
      <c r="H58" s="219">
        <f>+'POSEBNI DIO'!H17</f>
        <v>0</v>
      </c>
      <c r="I58" s="219">
        <f>40000+4000</f>
        <v>44000</v>
      </c>
      <c r="J58" s="10">
        <f>+'POSEBNI DIO'!J17</f>
        <v>0</v>
      </c>
      <c r="K58" s="10">
        <v>44000</v>
      </c>
      <c r="L58" s="10">
        <f>+'POSEBNI DIO'!L17</f>
        <v>0</v>
      </c>
      <c r="M58" s="10">
        <f>+'POSEBNI DIO'!M17</f>
        <v>44000</v>
      </c>
      <c r="N58" s="10">
        <f>+'POSEBNI DIO'!N17</f>
        <v>0</v>
      </c>
      <c r="O58" s="10">
        <f>+'POSEBNI DIO'!O17</f>
        <v>44000</v>
      </c>
    </row>
    <row r="59" spans="1:17" s="87" customFormat="1" x14ac:dyDescent="0.25">
      <c r="A59" s="14"/>
      <c r="B59" s="31"/>
      <c r="C59" s="14">
        <v>55</v>
      </c>
      <c r="D59" s="14" t="s">
        <v>62</v>
      </c>
      <c r="E59" s="86"/>
      <c r="F59" s="108">
        <f>+'POSEBNI DIO'!F32+'POSEBNI DIO'!F46</f>
        <v>68210.8</v>
      </c>
      <c r="G59" s="219">
        <f>365+56459+940</f>
        <v>57764</v>
      </c>
      <c r="H59" s="219">
        <f>+'POSEBNI DIO'!H32+'POSEBNI DIO'!H46</f>
        <v>0</v>
      </c>
      <c r="I59" s="219">
        <f>550+50+600+800+600+200+800+1170+1900+500+200+290+800+57750</f>
        <v>66210</v>
      </c>
      <c r="J59" s="10">
        <f>+'POSEBNI DIO'!J32+'POSEBNI DIO'!J46</f>
        <v>0</v>
      </c>
      <c r="K59" s="10">
        <f>100+800+600+200+500+700+800+500+270+300+200+290+800+57750</f>
        <v>63810</v>
      </c>
      <c r="L59" s="10">
        <f>+'POSEBNI DIO'!L32+'POSEBNI DIO'!L46</f>
        <v>0</v>
      </c>
      <c r="M59" s="10">
        <f>+'POSEBNI DIO'!M32+'POSEBNI DIO'!M46+'POSEBNI DIO'!M89</f>
        <v>63810</v>
      </c>
      <c r="N59" s="10">
        <f>+'POSEBNI DIO'!N32+'POSEBNI DIO'!N46</f>
        <v>0</v>
      </c>
      <c r="O59" s="10">
        <f>+'POSEBNI DIO'!O32+'POSEBNI DIO'!O46+'POSEBNI DIO'!O88</f>
        <v>63810</v>
      </c>
      <c r="Q59" s="236"/>
    </row>
    <row r="60" spans="1:17" s="87" customFormat="1" x14ac:dyDescent="0.25">
      <c r="A60" s="14"/>
      <c r="B60" s="31"/>
      <c r="C60" s="14">
        <v>25</v>
      </c>
      <c r="D60" s="14" t="s">
        <v>80</v>
      </c>
      <c r="E60" s="86"/>
      <c r="F60" s="108">
        <v>0</v>
      </c>
      <c r="G60" s="219">
        <v>0</v>
      </c>
      <c r="H60" s="219">
        <v>0</v>
      </c>
      <c r="I60" s="219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</row>
    <row r="61" spans="1:17" s="87" customFormat="1" x14ac:dyDescent="0.25">
      <c r="A61" s="14"/>
      <c r="B61" s="31"/>
      <c r="C61" s="14">
        <v>29</v>
      </c>
      <c r="D61" s="14" t="s">
        <v>61</v>
      </c>
      <c r="E61" s="86"/>
      <c r="F61" s="108">
        <v>0</v>
      </c>
      <c r="G61" s="219">
        <f>273+1661</f>
        <v>1934</v>
      </c>
      <c r="H61" s="219">
        <v>0</v>
      </c>
      <c r="I61" s="219">
        <f>1575+684</f>
        <v>2259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</row>
    <row r="62" spans="1:17" ht="15.75" customHeight="1" x14ac:dyDescent="0.25">
      <c r="A62" s="77"/>
      <c r="B62" s="78">
        <v>34</v>
      </c>
      <c r="C62" s="78"/>
      <c r="D62" s="78" t="s">
        <v>56</v>
      </c>
      <c r="E62" s="79"/>
      <c r="F62" s="107">
        <f>SUM(F63:F70)</f>
        <v>20050.54</v>
      </c>
      <c r="G62" s="218">
        <f t="shared" ref="G62:O62" si="37">SUM(G63:G70)</f>
        <v>637</v>
      </c>
      <c r="H62" s="218">
        <f t="shared" si="37"/>
        <v>0</v>
      </c>
      <c r="I62" s="218">
        <f t="shared" si="37"/>
        <v>1150</v>
      </c>
      <c r="J62" s="221">
        <f t="shared" si="37"/>
        <v>0</v>
      </c>
      <c r="K62" s="221">
        <f t="shared" si="37"/>
        <v>600</v>
      </c>
      <c r="L62" s="221">
        <f t="shared" si="37"/>
        <v>0</v>
      </c>
      <c r="M62" s="221">
        <f t="shared" si="37"/>
        <v>600</v>
      </c>
      <c r="N62" s="221">
        <f t="shared" si="37"/>
        <v>0</v>
      </c>
      <c r="O62" s="221">
        <f t="shared" si="37"/>
        <v>600</v>
      </c>
    </row>
    <row r="63" spans="1:17" s="87" customFormat="1" x14ac:dyDescent="0.25">
      <c r="A63" s="14"/>
      <c r="B63" s="14"/>
      <c r="C63" s="14">
        <v>11</v>
      </c>
      <c r="D63" s="14" t="s">
        <v>17</v>
      </c>
      <c r="E63" s="86"/>
      <c r="F63" s="108">
        <v>0</v>
      </c>
      <c r="G63" s="219">
        <v>0</v>
      </c>
      <c r="H63" s="219">
        <v>0</v>
      </c>
      <c r="I63" s="219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</row>
    <row r="64" spans="1:17" s="87" customFormat="1" x14ac:dyDescent="0.25">
      <c r="A64" s="14"/>
      <c r="B64" s="31"/>
      <c r="C64" s="14">
        <v>31</v>
      </c>
      <c r="D64" s="18" t="s">
        <v>52</v>
      </c>
      <c r="E64" s="86"/>
      <c r="F64" s="108">
        <f>+'POSEBNI DIO'!F12</f>
        <v>4830.92</v>
      </c>
      <c r="G64" s="219">
        <v>637</v>
      </c>
      <c r="H64" s="219">
        <f>+'POSEBNI DIO'!H12</f>
        <v>0</v>
      </c>
      <c r="I64" s="219">
        <f>650+500</f>
        <v>1150</v>
      </c>
      <c r="J64" s="10">
        <f>+'POSEBNI DIO'!J12</f>
        <v>0</v>
      </c>
      <c r="K64" s="10">
        <f>'POSEBNI DIO'!K12</f>
        <v>600</v>
      </c>
      <c r="L64" s="10">
        <f>'POSEBNI DIO'!L12</f>
        <v>0</v>
      </c>
      <c r="M64" s="10">
        <f>+'POSEBNI DIO'!M12</f>
        <v>600</v>
      </c>
      <c r="N64" s="10">
        <f>+'POSEBNI DIO'!N12</f>
        <v>0</v>
      </c>
      <c r="O64" s="10">
        <f>+'POSEBNI DIO'!O12</f>
        <v>600</v>
      </c>
    </row>
    <row r="65" spans="1:17" s="87" customFormat="1" x14ac:dyDescent="0.25">
      <c r="A65" s="14"/>
      <c r="B65" s="31"/>
      <c r="C65" s="14">
        <v>42</v>
      </c>
      <c r="D65" s="18" t="s">
        <v>74</v>
      </c>
      <c r="E65" s="86"/>
      <c r="F65" s="108">
        <v>0</v>
      </c>
      <c r="G65" s="219">
        <v>0</v>
      </c>
      <c r="H65" s="219">
        <v>0</v>
      </c>
      <c r="I65" s="219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</row>
    <row r="66" spans="1:17" s="87" customFormat="1" x14ac:dyDescent="0.25">
      <c r="A66" s="14"/>
      <c r="B66" s="31"/>
      <c r="C66" s="14">
        <v>44</v>
      </c>
      <c r="D66" s="18" t="s">
        <v>68</v>
      </c>
      <c r="E66" s="86"/>
      <c r="F66" s="108">
        <v>0</v>
      </c>
      <c r="G66" s="219">
        <v>0</v>
      </c>
      <c r="H66" s="219">
        <v>0</v>
      </c>
      <c r="I66" s="219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</row>
    <row r="67" spans="1:17" s="87" customFormat="1" x14ac:dyDescent="0.25">
      <c r="A67" s="14"/>
      <c r="B67" s="14"/>
      <c r="C67" s="14">
        <v>49</v>
      </c>
      <c r="D67" s="14" t="s">
        <v>55</v>
      </c>
      <c r="E67" s="86"/>
      <c r="F67" s="108">
        <f>+'POSEBNI DIO'!F18</f>
        <v>15219.62</v>
      </c>
      <c r="G67" s="219">
        <v>0</v>
      </c>
      <c r="H67" s="219">
        <f>+'POSEBNI DIO'!H18</f>
        <v>0</v>
      </c>
      <c r="I67" s="219">
        <f>+'POSEBNI DIO'!I18</f>
        <v>0</v>
      </c>
      <c r="J67" s="10">
        <f>+'POSEBNI DIO'!J18</f>
        <v>0</v>
      </c>
      <c r="K67" s="10">
        <f>+'POSEBNI DIO'!K18</f>
        <v>0</v>
      </c>
      <c r="L67" s="10">
        <f>+'POSEBNI DIO'!L18</f>
        <v>0</v>
      </c>
      <c r="M67" s="10">
        <f>+'POSEBNI DIO'!M18</f>
        <v>0</v>
      </c>
      <c r="N67" s="10">
        <f>+'POSEBNI DIO'!N18</f>
        <v>0</v>
      </c>
      <c r="O67" s="10">
        <f>+'POSEBNI DIO'!O18</f>
        <v>0</v>
      </c>
    </row>
    <row r="68" spans="1:17" s="87" customFormat="1" x14ac:dyDescent="0.25">
      <c r="A68" s="14"/>
      <c r="B68" s="31"/>
      <c r="C68" s="14">
        <v>55</v>
      </c>
      <c r="D68" s="14" t="s">
        <v>62</v>
      </c>
      <c r="E68" s="86"/>
      <c r="F68" s="108">
        <v>0</v>
      </c>
      <c r="G68" s="219">
        <v>0</v>
      </c>
      <c r="H68" s="219">
        <v>0</v>
      </c>
      <c r="I68" s="219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</row>
    <row r="69" spans="1:17" s="87" customFormat="1" x14ac:dyDescent="0.25">
      <c r="A69" s="14"/>
      <c r="B69" s="31"/>
      <c r="C69" s="14">
        <v>25</v>
      </c>
      <c r="D69" s="14" t="s">
        <v>80</v>
      </c>
      <c r="E69" s="86"/>
      <c r="F69" s="108">
        <v>0</v>
      </c>
      <c r="G69" s="219">
        <v>0</v>
      </c>
      <c r="H69" s="219">
        <v>0</v>
      </c>
      <c r="I69" s="219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</row>
    <row r="70" spans="1:17" s="87" customFormat="1" x14ac:dyDescent="0.25">
      <c r="A70" s="14"/>
      <c r="B70" s="31"/>
      <c r="C70" s="14">
        <v>29</v>
      </c>
      <c r="D70" s="14" t="s">
        <v>61</v>
      </c>
      <c r="E70" s="86"/>
      <c r="F70" s="108">
        <v>0</v>
      </c>
      <c r="G70" s="219">
        <v>0</v>
      </c>
      <c r="H70" s="219">
        <v>0</v>
      </c>
      <c r="I70" s="219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</row>
    <row r="71" spans="1:17" ht="15.75" customHeight="1" x14ac:dyDescent="0.25">
      <c r="A71" s="77"/>
      <c r="B71" s="78">
        <v>37</v>
      </c>
      <c r="C71" s="78"/>
      <c r="D71" s="78" t="s">
        <v>60</v>
      </c>
      <c r="E71" s="79"/>
      <c r="F71" s="107">
        <f>SUM(F72:F80)</f>
        <v>101698.44</v>
      </c>
      <c r="G71" s="218">
        <f>SUM(G72:G80)</f>
        <v>13467</v>
      </c>
      <c r="H71" s="218">
        <f t="shared" ref="H71:O71" si="38">SUM(H72:H80)</f>
        <v>0</v>
      </c>
      <c r="I71" s="218">
        <f t="shared" si="38"/>
        <v>16097</v>
      </c>
      <c r="J71" s="221">
        <f t="shared" si="38"/>
        <v>0</v>
      </c>
      <c r="K71" s="221">
        <f t="shared" si="38"/>
        <v>2000</v>
      </c>
      <c r="L71" s="221">
        <f t="shared" si="38"/>
        <v>0</v>
      </c>
      <c r="M71" s="221">
        <f t="shared" si="38"/>
        <v>2000</v>
      </c>
      <c r="N71" s="221">
        <f t="shared" si="38"/>
        <v>0</v>
      </c>
      <c r="O71" s="221">
        <f t="shared" si="38"/>
        <v>2000</v>
      </c>
    </row>
    <row r="72" spans="1:17" s="87" customFormat="1" x14ac:dyDescent="0.25">
      <c r="A72" s="14"/>
      <c r="B72" s="14"/>
      <c r="C72" s="14">
        <v>11</v>
      </c>
      <c r="D72" s="14" t="s">
        <v>17</v>
      </c>
      <c r="E72" s="86"/>
      <c r="F72" s="108">
        <f>+'POSEBNI DIO'!F24</f>
        <v>83937.08</v>
      </c>
      <c r="G72" s="219">
        <v>13382</v>
      </c>
      <c r="H72" s="219">
        <f>+'POSEBNI DIO'!H24</f>
        <v>0</v>
      </c>
      <c r="I72" s="219">
        <f>2000+14097</f>
        <v>16097</v>
      </c>
      <c r="J72" s="10">
        <f>+'POSEBNI DIO'!J24</f>
        <v>0</v>
      </c>
      <c r="K72" s="10">
        <v>2000</v>
      </c>
      <c r="L72" s="10">
        <f>+'POSEBNI DIO'!L24</f>
        <v>0</v>
      </c>
      <c r="M72" s="10">
        <f>+'POSEBNI DIO'!M24</f>
        <v>2000</v>
      </c>
      <c r="N72" s="10">
        <f>+'POSEBNI DIO'!N24</f>
        <v>0</v>
      </c>
      <c r="O72" s="10">
        <f>+'POSEBNI DIO'!O24</f>
        <v>2000</v>
      </c>
    </row>
    <row r="73" spans="1:17" s="87" customFormat="1" x14ac:dyDescent="0.25">
      <c r="A73" s="14"/>
      <c r="B73" s="31"/>
      <c r="C73" s="14">
        <v>31</v>
      </c>
      <c r="D73" s="18" t="s">
        <v>52</v>
      </c>
      <c r="E73" s="86"/>
      <c r="F73" s="108">
        <v>0</v>
      </c>
      <c r="G73" s="219">
        <v>0</v>
      </c>
      <c r="H73" s="219">
        <v>0</v>
      </c>
      <c r="I73" s="219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</row>
    <row r="74" spans="1:17" s="87" customFormat="1" x14ac:dyDescent="0.25">
      <c r="A74" s="14"/>
      <c r="B74" s="31"/>
      <c r="C74" s="14">
        <v>42</v>
      </c>
      <c r="D74" s="18" t="s">
        <v>74</v>
      </c>
      <c r="E74" s="86"/>
      <c r="F74" s="108">
        <v>0</v>
      </c>
      <c r="G74" s="219">
        <v>0</v>
      </c>
      <c r="H74" s="219">
        <v>0</v>
      </c>
      <c r="I74" s="219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</row>
    <row r="75" spans="1:17" s="87" customFormat="1" x14ac:dyDescent="0.25">
      <c r="A75" s="14"/>
      <c r="B75" s="31"/>
      <c r="C75" s="14">
        <v>44</v>
      </c>
      <c r="D75" s="18" t="s">
        <v>68</v>
      </c>
      <c r="E75" s="86"/>
      <c r="F75" s="108">
        <v>0</v>
      </c>
      <c r="G75" s="219">
        <v>0</v>
      </c>
      <c r="H75" s="219">
        <v>0</v>
      </c>
      <c r="I75" s="219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</row>
    <row r="76" spans="1:17" s="87" customFormat="1" x14ac:dyDescent="0.25">
      <c r="A76" s="14"/>
      <c r="B76" s="14"/>
      <c r="C76" s="14">
        <v>49</v>
      </c>
      <c r="D76" s="14" t="s">
        <v>55</v>
      </c>
      <c r="E76" s="86"/>
      <c r="F76" s="108">
        <v>0</v>
      </c>
      <c r="G76" s="219">
        <v>0</v>
      </c>
      <c r="H76" s="219">
        <v>0</v>
      </c>
      <c r="I76" s="219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</row>
    <row r="77" spans="1:17" s="87" customFormat="1" x14ac:dyDescent="0.25">
      <c r="A77" s="14"/>
      <c r="B77" s="31"/>
      <c r="C77" s="14">
        <v>55</v>
      </c>
      <c r="D77" s="14" t="s">
        <v>62</v>
      </c>
      <c r="E77" s="86"/>
      <c r="F77" s="108">
        <f>'POSEBNI DIO'!F47</f>
        <v>17761.36</v>
      </c>
      <c r="G77" s="219">
        <v>0</v>
      </c>
      <c r="H77" s="219">
        <f>'POSEBNI DIO'!H47</f>
        <v>0</v>
      </c>
      <c r="I77" s="219">
        <f>H77/7.5345</f>
        <v>0</v>
      </c>
      <c r="J77" s="10">
        <f>+'POSEBNI DIO'!J33</f>
        <v>0</v>
      </c>
      <c r="K77" s="10">
        <f>+'POSEBNI DIO'!K33</f>
        <v>0</v>
      </c>
      <c r="L77" s="10">
        <f>+'POSEBNI DIO'!L33</f>
        <v>0</v>
      </c>
      <c r="M77" s="10">
        <f>+'POSEBNI DIO'!M33</f>
        <v>0</v>
      </c>
      <c r="N77" s="10">
        <f>+'POSEBNI DIO'!N33</f>
        <v>0</v>
      </c>
      <c r="O77" s="10">
        <f>+'POSEBNI DIO'!O33</f>
        <v>0</v>
      </c>
    </row>
    <row r="78" spans="1:17" s="87" customFormat="1" x14ac:dyDescent="0.25">
      <c r="A78" s="14"/>
      <c r="B78" s="31"/>
      <c r="C78" s="14">
        <v>22</v>
      </c>
      <c r="D78" s="14"/>
      <c r="E78" s="86"/>
      <c r="F78" s="108"/>
      <c r="G78" s="219">
        <v>85</v>
      </c>
      <c r="H78" s="219"/>
      <c r="I78" s="219"/>
      <c r="J78" s="10"/>
      <c r="K78" s="10"/>
      <c r="L78" s="10"/>
      <c r="M78" s="10"/>
      <c r="N78" s="10"/>
      <c r="O78" s="10"/>
    </row>
    <row r="79" spans="1:17" s="87" customFormat="1" x14ac:dyDescent="0.25">
      <c r="A79" s="14"/>
      <c r="B79" s="31"/>
      <c r="C79" s="14">
        <v>25</v>
      </c>
      <c r="D79" s="14" t="s">
        <v>80</v>
      </c>
      <c r="E79" s="86"/>
      <c r="F79" s="108">
        <v>0</v>
      </c>
      <c r="G79" s="219">
        <v>0</v>
      </c>
      <c r="H79" s="219">
        <v>0</v>
      </c>
      <c r="I79" s="219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236"/>
    </row>
    <row r="80" spans="1:17" s="87" customFormat="1" x14ac:dyDescent="0.25">
      <c r="A80" s="14"/>
      <c r="B80" s="31"/>
      <c r="C80" s="14">
        <v>29</v>
      </c>
      <c r="D80" s="14" t="s">
        <v>61</v>
      </c>
      <c r="E80" s="86"/>
      <c r="F80" s="108">
        <v>0</v>
      </c>
      <c r="G80" s="219">
        <v>0</v>
      </c>
      <c r="H80" s="219">
        <v>0</v>
      </c>
      <c r="I80" s="219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73"/>
      <c r="Q80" s="237"/>
    </row>
    <row r="81" spans="1:16" ht="15.75" customHeight="1" x14ac:dyDescent="0.25">
      <c r="A81" s="77"/>
      <c r="B81" s="78">
        <v>38</v>
      </c>
      <c r="C81" s="78"/>
      <c r="D81" s="78" t="s">
        <v>124</v>
      </c>
      <c r="E81" s="79"/>
      <c r="F81" s="107">
        <f t="shared" ref="F81:H81" si="39">SUM(F82)</f>
        <v>0</v>
      </c>
      <c r="G81" s="218">
        <f t="shared" si="39"/>
        <v>555</v>
      </c>
      <c r="H81" s="218">
        <f t="shared" si="39"/>
        <v>0</v>
      </c>
      <c r="I81" s="218">
        <f>SUM(I82)</f>
        <v>528</v>
      </c>
      <c r="J81" s="221">
        <f t="shared" ref="J81:O81" si="40">SUM(J82)</f>
        <v>0</v>
      </c>
      <c r="K81" s="221">
        <f t="shared" si="40"/>
        <v>600</v>
      </c>
      <c r="L81" s="221">
        <f t="shared" si="40"/>
        <v>0</v>
      </c>
      <c r="M81" s="221">
        <f t="shared" si="40"/>
        <v>600</v>
      </c>
      <c r="N81" s="221">
        <f t="shared" si="40"/>
        <v>0</v>
      </c>
      <c r="O81" s="221">
        <f t="shared" si="40"/>
        <v>600</v>
      </c>
      <c r="P81" s="90"/>
    </row>
    <row r="82" spans="1:16" s="87" customFormat="1" x14ac:dyDescent="0.25">
      <c r="A82" s="14"/>
      <c r="B82" s="31"/>
      <c r="C82" s="14">
        <v>55</v>
      </c>
      <c r="D82" s="14" t="s">
        <v>62</v>
      </c>
      <c r="E82" s="86"/>
      <c r="F82" s="108">
        <f>'POSEBNI DIO'!F34</f>
        <v>0</v>
      </c>
      <c r="G82" s="219">
        <v>555</v>
      </c>
      <c r="H82" s="219">
        <f>'POSEBNI DIO'!H34</f>
        <v>0</v>
      </c>
      <c r="I82" s="219">
        <v>528</v>
      </c>
      <c r="J82" s="10">
        <f>'POSEBNI DIO'!J34</f>
        <v>0</v>
      </c>
      <c r="K82" s="10">
        <f>'POSEBNI DIO'!K34</f>
        <v>600</v>
      </c>
      <c r="L82" s="10">
        <f>'POSEBNI DIO'!L34</f>
        <v>0</v>
      </c>
      <c r="M82" s="10">
        <f>'POSEBNI DIO'!M34</f>
        <v>600</v>
      </c>
      <c r="N82" s="10">
        <f>'POSEBNI DIO'!N34</f>
        <v>0</v>
      </c>
      <c r="O82" s="10">
        <f>'POSEBNI DIO'!O34</f>
        <v>600</v>
      </c>
    </row>
    <row r="83" spans="1:16" s="65" customFormat="1" ht="15.75" customHeight="1" x14ac:dyDescent="0.25">
      <c r="A83" s="80">
        <v>4</v>
      </c>
      <c r="B83" s="80"/>
      <c r="C83" s="80"/>
      <c r="D83" s="80" t="s">
        <v>23</v>
      </c>
      <c r="E83" s="81"/>
      <c r="F83" s="110">
        <f>+F84</f>
        <v>160027.08000000002</v>
      </c>
      <c r="G83" s="217">
        <f t="shared" ref="G83:O83" si="41">+G84</f>
        <v>19280</v>
      </c>
      <c r="H83" s="217">
        <f t="shared" si="41"/>
        <v>0</v>
      </c>
      <c r="I83" s="217">
        <f t="shared" si="41"/>
        <v>17000</v>
      </c>
      <c r="J83" s="222">
        <f t="shared" si="41"/>
        <v>0</v>
      </c>
      <c r="K83" s="222">
        <f t="shared" si="41"/>
        <v>19000</v>
      </c>
      <c r="L83" s="222">
        <f t="shared" si="41"/>
        <v>0</v>
      </c>
      <c r="M83" s="222">
        <f t="shared" si="41"/>
        <v>19000</v>
      </c>
      <c r="N83" s="222">
        <f t="shared" si="41"/>
        <v>0</v>
      </c>
      <c r="O83" s="222">
        <f t="shared" si="41"/>
        <v>19000</v>
      </c>
    </row>
    <row r="84" spans="1:16" ht="15.75" customHeight="1" x14ac:dyDescent="0.25">
      <c r="A84" s="77"/>
      <c r="B84" s="78">
        <v>42</v>
      </c>
      <c r="C84" s="78"/>
      <c r="D84" s="78" t="s">
        <v>45</v>
      </c>
      <c r="E84" s="79"/>
      <c r="F84" s="107">
        <f>SUM(F85:F92)</f>
        <v>160027.08000000002</v>
      </c>
      <c r="G84" s="218">
        <f t="shared" ref="G84:O84" si="42">SUM(G85:G92)</f>
        <v>19280</v>
      </c>
      <c r="H84" s="218">
        <f t="shared" si="42"/>
        <v>0</v>
      </c>
      <c r="I84" s="218">
        <f t="shared" si="42"/>
        <v>17000</v>
      </c>
      <c r="J84" s="221">
        <f t="shared" si="42"/>
        <v>0</v>
      </c>
      <c r="K84" s="221">
        <f t="shared" si="42"/>
        <v>19000</v>
      </c>
      <c r="L84" s="221">
        <f t="shared" si="42"/>
        <v>0</v>
      </c>
      <c r="M84" s="221">
        <f t="shared" si="42"/>
        <v>19000</v>
      </c>
      <c r="N84" s="221">
        <f t="shared" si="42"/>
        <v>0</v>
      </c>
      <c r="O84" s="221">
        <f t="shared" si="42"/>
        <v>19000</v>
      </c>
    </row>
    <row r="85" spans="1:16" s="87" customFormat="1" x14ac:dyDescent="0.25">
      <c r="A85" s="14"/>
      <c r="B85" s="14"/>
      <c r="C85" s="14">
        <v>11</v>
      </c>
      <c r="D85" s="14" t="s">
        <v>17</v>
      </c>
      <c r="E85" s="86"/>
      <c r="F85" s="108">
        <v>0</v>
      </c>
      <c r="G85" s="219">
        <v>0</v>
      </c>
      <c r="H85" s="219">
        <v>0</v>
      </c>
      <c r="I85" s="219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</row>
    <row r="86" spans="1:16" s="87" customFormat="1" x14ac:dyDescent="0.25">
      <c r="A86" s="14"/>
      <c r="B86" s="31"/>
      <c r="C86" s="14">
        <v>31</v>
      </c>
      <c r="D86" s="18" t="s">
        <v>52</v>
      </c>
      <c r="E86" s="86"/>
      <c r="F86" s="108">
        <f>+'POSEBNI DIO'!F96</f>
        <v>58000</v>
      </c>
      <c r="G86" s="219">
        <f>7352+612</f>
        <v>7964</v>
      </c>
      <c r="H86" s="219">
        <f>+'POSEBNI DIO'!H96</f>
        <v>0</v>
      </c>
      <c r="I86" s="219">
        <v>6000</v>
      </c>
      <c r="J86" s="10">
        <f>+'POSEBNI DIO'!J96</f>
        <v>0</v>
      </c>
      <c r="K86" s="10">
        <v>8000</v>
      </c>
      <c r="L86" s="10">
        <f>+'POSEBNI DIO'!L96</f>
        <v>0</v>
      </c>
      <c r="M86" s="10">
        <f>+'POSEBNI DIO'!M96</f>
        <v>8000</v>
      </c>
      <c r="N86" s="10">
        <f>+'POSEBNI DIO'!N96</f>
        <v>0</v>
      </c>
      <c r="O86" s="10">
        <f>+'POSEBNI DIO'!O96</f>
        <v>8000</v>
      </c>
    </row>
    <row r="87" spans="1:16" s="87" customFormat="1" x14ac:dyDescent="0.25">
      <c r="A87" s="14"/>
      <c r="B87" s="31"/>
      <c r="C87" s="14">
        <v>42</v>
      </c>
      <c r="D87" s="18" t="s">
        <v>74</v>
      </c>
      <c r="E87" s="86"/>
      <c r="F87" s="108">
        <v>0</v>
      </c>
      <c r="G87" s="219">
        <v>0</v>
      </c>
      <c r="H87" s="219">
        <v>0</v>
      </c>
      <c r="I87" s="219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</row>
    <row r="88" spans="1:16" s="87" customFormat="1" x14ac:dyDescent="0.25">
      <c r="A88" s="14"/>
      <c r="B88" s="31"/>
      <c r="C88" s="14">
        <v>44</v>
      </c>
      <c r="D88" s="18" t="s">
        <v>68</v>
      </c>
      <c r="E88" s="86"/>
      <c r="F88" s="108">
        <v>0</v>
      </c>
      <c r="G88" s="219">
        <v>0</v>
      </c>
      <c r="H88" s="219">
        <v>0</v>
      </c>
      <c r="I88" s="219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</row>
    <row r="89" spans="1:16" s="87" customFormat="1" x14ac:dyDescent="0.25">
      <c r="A89" s="14"/>
      <c r="B89" s="14"/>
      <c r="C89" s="14">
        <v>49</v>
      </c>
      <c r="D89" s="14" t="s">
        <v>55</v>
      </c>
      <c r="E89" s="86"/>
      <c r="F89" s="108">
        <v>0</v>
      </c>
      <c r="G89" s="219">
        <v>0</v>
      </c>
      <c r="H89" s="219">
        <v>0</v>
      </c>
      <c r="I89" s="219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</row>
    <row r="90" spans="1:16" s="87" customFormat="1" x14ac:dyDescent="0.25">
      <c r="A90" s="14"/>
      <c r="B90" s="31"/>
      <c r="C90" s="14">
        <v>55</v>
      </c>
      <c r="D90" s="14" t="s">
        <v>62</v>
      </c>
      <c r="E90" s="86"/>
      <c r="F90" s="108">
        <f>+'POSEBNI DIO'!F79+'POSEBNI DIO'!F49+'POSEBNI DIO'!F35</f>
        <v>102027.08</v>
      </c>
      <c r="G90" s="219">
        <v>11316</v>
      </c>
      <c r="H90" s="219">
        <f>+'POSEBNI DIO'!H79+'POSEBNI DIO'!H49+'POSEBNI DIO'!H35</f>
        <v>0</v>
      </c>
      <c r="I90" s="219">
        <v>11000</v>
      </c>
      <c r="J90" s="10">
        <f>+'POSEBNI DIO'!J79+'POSEBNI DIO'!J49+'POSEBNI DIO'!J35</f>
        <v>0</v>
      </c>
      <c r="K90" s="10">
        <f>+'POSEBNI DIO'!K79+'POSEBNI DIO'!K49+'POSEBNI DIO'!K35</f>
        <v>11000</v>
      </c>
      <c r="L90" s="10">
        <f>+'POSEBNI DIO'!L79+'POSEBNI DIO'!L49+'POSEBNI DIO'!L35</f>
        <v>0</v>
      </c>
      <c r="M90" s="10">
        <f>+'POSEBNI DIO'!M79+'POSEBNI DIO'!M49+'POSEBNI DIO'!M35</f>
        <v>11000</v>
      </c>
      <c r="N90" s="10">
        <f>+'POSEBNI DIO'!N79+'POSEBNI DIO'!N49+'POSEBNI DIO'!N35</f>
        <v>0</v>
      </c>
      <c r="O90" s="10">
        <f>+'POSEBNI DIO'!O79+'POSEBNI DIO'!O49+'POSEBNI DIO'!O35</f>
        <v>11000</v>
      </c>
    </row>
    <row r="91" spans="1:16" s="87" customFormat="1" x14ac:dyDescent="0.25">
      <c r="A91" s="14"/>
      <c r="B91" s="31"/>
      <c r="C91" s="14">
        <v>25</v>
      </c>
      <c r="D91" s="14" t="s">
        <v>80</v>
      </c>
      <c r="E91" s="86"/>
      <c r="F91" s="108">
        <f>+'POSEBNI DIO'!F101</f>
        <v>0</v>
      </c>
      <c r="G91" s="219">
        <f>+'POSEBNI DIO'!G101</f>
        <v>0</v>
      </c>
      <c r="H91" s="219">
        <f>+'POSEBNI DIO'!H101</f>
        <v>0</v>
      </c>
      <c r="I91" s="219">
        <f>+'POSEBNI DIO'!I101</f>
        <v>0</v>
      </c>
      <c r="J91" s="10">
        <f>+'POSEBNI DIO'!J101</f>
        <v>0</v>
      </c>
      <c r="K91" s="10">
        <f>+'POSEBNI DIO'!K101</f>
        <v>0</v>
      </c>
      <c r="L91" s="10">
        <f>+'POSEBNI DIO'!L101</f>
        <v>0</v>
      </c>
      <c r="M91" s="10">
        <f>+'POSEBNI DIO'!M101</f>
        <v>0</v>
      </c>
      <c r="N91" s="10">
        <f>+'POSEBNI DIO'!N101</f>
        <v>0</v>
      </c>
      <c r="O91" s="10">
        <f>+'POSEBNI DIO'!O101</f>
        <v>0</v>
      </c>
    </row>
    <row r="92" spans="1:16" s="87" customFormat="1" x14ac:dyDescent="0.25">
      <c r="A92" s="14"/>
      <c r="B92" s="31"/>
      <c r="C92" s="14">
        <v>29</v>
      </c>
      <c r="D92" s="14" t="s">
        <v>61</v>
      </c>
      <c r="E92" s="86"/>
      <c r="F92" s="108">
        <f>'POSEBNI DIO'!F28</f>
        <v>0</v>
      </c>
      <c r="G92" s="219">
        <f>'POSEBNI DIO'!G28</f>
        <v>0</v>
      </c>
      <c r="H92" s="219">
        <f>'POSEBNI DIO'!H28</f>
        <v>0</v>
      </c>
      <c r="I92" s="219">
        <f>'POSEBNI DIO'!I28</f>
        <v>0</v>
      </c>
      <c r="J92" s="10">
        <f>'POSEBNI DIO'!J28</f>
        <v>0</v>
      </c>
      <c r="K92" s="10">
        <f>'POSEBNI DIO'!K28</f>
        <v>0</v>
      </c>
      <c r="L92" s="10">
        <f>'POSEBNI DIO'!L28</f>
        <v>0</v>
      </c>
      <c r="M92" s="10">
        <f>'POSEBNI DIO'!M28</f>
        <v>0</v>
      </c>
      <c r="N92" s="10">
        <f>'POSEBNI DIO'!N28</f>
        <v>0</v>
      </c>
      <c r="O92" s="10">
        <f>'POSEBNI DIO'!O28</f>
        <v>0</v>
      </c>
    </row>
    <row r="93" spans="1:16" x14ac:dyDescent="0.25">
      <c r="A93" s="70"/>
      <c r="B93" s="71"/>
      <c r="C93" s="72"/>
      <c r="D93" s="72"/>
      <c r="E93" s="72"/>
      <c r="F93" s="73"/>
      <c r="G93" s="73"/>
      <c r="H93" s="73"/>
      <c r="I93" s="73"/>
      <c r="J93" s="73"/>
      <c r="K93" s="73"/>
      <c r="L93" s="73"/>
      <c r="M93" s="73"/>
      <c r="N93" s="73"/>
      <c r="O93" s="73"/>
    </row>
    <row r="94" spans="1:16" x14ac:dyDescent="0.25">
      <c r="G94" s="90"/>
    </row>
    <row r="95" spans="1:16" x14ac:dyDescent="0.25">
      <c r="K95" s="90"/>
      <c r="L95" s="90"/>
      <c r="M95" s="90"/>
      <c r="N95" s="90"/>
      <c r="O95" s="90"/>
    </row>
    <row r="96" spans="1:16" x14ac:dyDescent="0.25">
      <c r="K96" s="90"/>
    </row>
    <row r="97" spans="9:11" x14ac:dyDescent="0.25">
      <c r="K97" s="90"/>
    </row>
    <row r="98" spans="9:11" x14ac:dyDescent="0.25">
      <c r="K98" s="90"/>
    </row>
    <row r="99" spans="9:11" x14ac:dyDescent="0.25">
      <c r="I99" s="90"/>
      <c r="K99" s="90"/>
    </row>
    <row r="100" spans="9:11" x14ac:dyDescent="0.25">
      <c r="K100" s="90"/>
    </row>
    <row r="101" spans="9:11" x14ac:dyDescent="0.25">
      <c r="K101" s="90"/>
    </row>
    <row r="103" spans="9:11" x14ac:dyDescent="0.25">
      <c r="K103" s="90"/>
    </row>
    <row r="105" spans="9:11" x14ac:dyDescent="0.25">
      <c r="K105" s="90"/>
    </row>
  </sheetData>
  <mergeCells count="15">
    <mergeCell ref="A7:O7"/>
    <mergeCell ref="A5:O5"/>
    <mergeCell ref="A38:O38"/>
    <mergeCell ref="A1:O1"/>
    <mergeCell ref="A3:O3"/>
    <mergeCell ref="F9:G9"/>
    <mergeCell ref="H9:I9"/>
    <mergeCell ref="N9:O9"/>
    <mergeCell ref="L9:M9"/>
    <mergeCell ref="J9:K9"/>
    <mergeCell ref="F40:G40"/>
    <mergeCell ref="H40:I40"/>
    <mergeCell ref="J40:K40"/>
    <mergeCell ref="L40:M40"/>
    <mergeCell ref="N40:O40"/>
  </mergeCells>
  <pageMargins left="0.7" right="0.7" top="0.75" bottom="0.75" header="0.3" footer="0.3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9"/>
  <sheetViews>
    <sheetView workbookViewId="0">
      <selection sqref="A1:K1"/>
    </sheetView>
  </sheetViews>
  <sheetFormatPr defaultRowHeight="15" x14ac:dyDescent="0.25"/>
  <cols>
    <col min="1" max="1" width="43.140625" customWidth="1"/>
    <col min="2" max="2" width="14" hidden="1" customWidth="1"/>
    <col min="3" max="3" width="14" customWidth="1"/>
    <col min="4" max="4" width="14" hidden="1" customWidth="1"/>
    <col min="5" max="5" width="14" customWidth="1"/>
    <col min="6" max="6" width="14" hidden="1" customWidth="1"/>
    <col min="7" max="7" width="14" customWidth="1"/>
    <col min="8" max="8" width="14" hidden="1" customWidth="1"/>
    <col min="9" max="9" width="14" customWidth="1"/>
    <col min="10" max="10" width="14" hidden="1" customWidth="1"/>
    <col min="11" max="11" width="14" customWidth="1"/>
  </cols>
  <sheetData>
    <row r="1" spans="1:11" ht="32.25" customHeight="1" x14ac:dyDescent="0.25">
      <c r="A1" s="149" t="str">
        <f>SAŽETAK!A1</f>
        <v>FINANCIJSKI PLAN OSNOVNE ŠKOLE ANTUNA MASLE - ORAŠAC ZA 2025. I PROJEKCIJA ZA 2026. I 2027. GODINU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ht="18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75" x14ac:dyDescent="0.25">
      <c r="A3" s="149" t="s">
        <v>31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18" x14ac:dyDescent="0.25">
      <c r="B4" s="28"/>
      <c r="C4" s="28"/>
      <c r="D4" s="28"/>
      <c r="E4" s="28"/>
      <c r="F4" s="28"/>
      <c r="G4" s="28"/>
      <c r="H4" s="6"/>
      <c r="I4" s="6"/>
      <c r="J4" s="6"/>
      <c r="K4" s="6"/>
    </row>
    <row r="5" spans="1:11" ht="15.75" x14ac:dyDescent="0.25">
      <c r="A5" s="149" t="s">
        <v>12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</row>
    <row r="6" spans="1:11" ht="18" x14ac:dyDescent="0.25">
      <c r="A6" s="28"/>
      <c r="B6" s="28"/>
      <c r="C6" s="28"/>
      <c r="D6" s="28"/>
      <c r="E6" s="28"/>
      <c r="F6" s="28"/>
      <c r="G6" s="28"/>
      <c r="H6" s="6"/>
      <c r="I6" s="6"/>
      <c r="J6" s="6"/>
      <c r="K6" s="6"/>
    </row>
    <row r="7" spans="1:11" ht="15.75" x14ac:dyDescent="0.25">
      <c r="A7" s="149" t="s">
        <v>102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</row>
    <row r="8" spans="1:11" ht="18" x14ac:dyDescent="0.25">
      <c r="A8" s="28"/>
      <c r="B8" s="28"/>
      <c r="C8" s="28"/>
      <c r="D8" s="28"/>
      <c r="E8" s="28"/>
      <c r="F8" s="28"/>
      <c r="G8" s="28"/>
      <c r="H8" s="6"/>
      <c r="I8" s="6"/>
      <c r="J8" s="6"/>
      <c r="K8" s="6"/>
    </row>
    <row r="9" spans="1:11" ht="25.5" customHeight="1" x14ac:dyDescent="0.25">
      <c r="A9" s="112" t="s">
        <v>103</v>
      </c>
      <c r="B9" s="177" t="s">
        <v>137</v>
      </c>
      <c r="C9" s="178"/>
      <c r="D9" s="177" t="s">
        <v>138</v>
      </c>
      <c r="E9" s="178"/>
      <c r="F9" s="177" t="s">
        <v>141</v>
      </c>
      <c r="G9" s="178"/>
      <c r="H9" s="177" t="s">
        <v>97</v>
      </c>
      <c r="I9" s="178"/>
      <c r="J9" s="177" t="s">
        <v>140</v>
      </c>
      <c r="K9" s="178"/>
    </row>
    <row r="10" spans="1:11" x14ac:dyDescent="0.25">
      <c r="A10" s="112"/>
      <c r="B10" s="111" t="s">
        <v>47</v>
      </c>
      <c r="C10" s="111" t="s">
        <v>48</v>
      </c>
      <c r="D10" s="111" t="s">
        <v>47</v>
      </c>
      <c r="E10" s="111" t="s">
        <v>48</v>
      </c>
      <c r="F10" s="111" t="s">
        <v>47</v>
      </c>
      <c r="G10" s="111" t="s">
        <v>48</v>
      </c>
      <c r="H10" s="111" t="s">
        <v>47</v>
      </c>
      <c r="I10" s="111" t="s">
        <v>48</v>
      </c>
      <c r="J10" s="111" t="s">
        <v>47</v>
      </c>
      <c r="K10" s="111" t="s">
        <v>48</v>
      </c>
    </row>
    <row r="11" spans="1:11" x14ac:dyDescent="0.25">
      <c r="A11" s="113" t="s">
        <v>0</v>
      </c>
      <c r="B11" s="114">
        <f t="shared" ref="B11:K11" si="0">SUM(B12:B19)</f>
        <v>5955841.6400000006</v>
      </c>
      <c r="C11" s="225">
        <f t="shared" si="0"/>
        <v>957966</v>
      </c>
      <c r="D11" s="225">
        <f t="shared" si="0"/>
        <v>0</v>
      </c>
      <c r="E11" s="225">
        <f>SUM(E21+E19+E18+E17+E16+E15+E14+E13+E12)</f>
        <v>1240101</v>
      </c>
      <c r="F11" s="225">
        <f t="shared" si="0"/>
        <v>0</v>
      </c>
      <c r="G11" s="225">
        <f t="shared" si="0"/>
        <v>1279200</v>
      </c>
      <c r="H11" s="225">
        <f t="shared" si="0"/>
        <v>1279200</v>
      </c>
      <c r="I11" s="225">
        <f t="shared" si="0"/>
        <v>1279195</v>
      </c>
      <c r="J11" s="225">
        <f t="shared" si="0"/>
        <v>1279200</v>
      </c>
      <c r="K11" s="225">
        <f t="shared" si="0"/>
        <v>1279195</v>
      </c>
    </row>
    <row r="12" spans="1:11" x14ac:dyDescent="0.25">
      <c r="A12" s="15" t="s">
        <v>117</v>
      </c>
      <c r="B12" s="109">
        <v>410242.8</v>
      </c>
      <c r="C12" s="220">
        <v>56876</v>
      </c>
      <c r="D12" s="220"/>
      <c r="E12" s="220">
        <v>80887</v>
      </c>
      <c r="F12" s="220"/>
      <c r="G12" s="220">
        <v>65270</v>
      </c>
      <c r="H12" s="220">
        <v>65270</v>
      </c>
      <c r="I12" s="220">
        <v>65270</v>
      </c>
      <c r="J12" s="220">
        <v>65270</v>
      </c>
      <c r="K12" s="220">
        <v>65270</v>
      </c>
    </row>
    <row r="13" spans="1:11" x14ac:dyDescent="0.25">
      <c r="A13" s="15">
        <v>22</v>
      </c>
      <c r="B13" s="109"/>
      <c r="C13" s="220">
        <v>85</v>
      </c>
      <c r="D13" s="220"/>
      <c r="E13" s="220">
        <v>4270</v>
      </c>
      <c r="F13" s="220"/>
      <c r="G13" s="220"/>
      <c r="H13" s="220"/>
      <c r="I13" s="220"/>
      <c r="J13" s="220"/>
      <c r="K13" s="220"/>
    </row>
    <row r="14" spans="1:11" x14ac:dyDescent="0.25">
      <c r="A14" s="15" t="s">
        <v>116</v>
      </c>
      <c r="B14" s="109">
        <v>0</v>
      </c>
      <c r="C14" s="220">
        <v>6</v>
      </c>
      <c r="D14" s="220"/>
      <c r="E14" s="220">
        <v>0</v>
      </c>
      <c r="F14" s="220"/>
      <c r="G14" s="220"/>
      <c r="H14" s="220"/>
      <c r="I14" s="220"/>
      <c r="J14" s="220"/>
      <c r="K14" s="220"/>
    </row>
    <row r="15" spans="1:11" x14ac:dyDescent="0.25">
      <c r="A15" s="15" t="s">
        <v>119</v>
      </c>
      <c r="B15" s="109">
        <v>456000</v>
      </c>
      <c r="C15" s="220">
        <v>61319</v>
      </c>
      <c r="D15" s="220"/>
      <c r="E15" s="220">
        <v>63000</v>
      </c>
      <c r="F15" s="220"/>
      <c r="G15" s="220">
        <v>65000</v>
      </c>
      <c r="H15" s="220">
        <v>65000</v>
      </c>
      <c r="I15" s="220">
        <v>65000</v>
      </c>
      <c r="J15" s="220">
        <v>65000</v>
      </c>
      <c r="K15" s="220">
        <v>65000</v>
      </c>
    </row>
    <row r="16" spans="1:11" x14ac:dyDescent="0.25">
      <c r="A16" s="15" t="s">
        <v>120</v>
      </c>
      <c r="B16" s="109">
        <v>625.42999999999995</v>
      </c>
      <c r="C16" s="220">
        <v>63</v>
      </c>
      <c r="D16" s="220"/>
      <c r="E16" s="220">
        <v>65</v>
      </c>
      <c r="F16" s="220"/>
      <c r="G16" s="220">
        <v>70</v>
      </c>
      <c r="H16" s="220">
        <v>70</v>
      </c>
      <c r="I16" s="220">
        <v>65</v>
      </c>
      <c r="J16" s="220">
        <v>70</v>
      </c>
      <c r="K16" s="220">
        <v>65</v>
      </c>
    </row>
    <row r="17" spans="1:11" x14ac:dyDescent="0.25">
      <c r="A17" s="15" t="s">
        <v>121</v>
      </c>
      <c r="B17" s="109">
        <v>46400</v>
      </c>
      <c r="C17" s="220">
        <v>6249</v>
      </c>
      <c r="D17" s="220"/>
      <c r="E17" s="220">
        <v>6972</v>
      </c>
      <c r="F17" s="220"/>
      <c r="G17" s="220">
        <v>10970</v>
      </c>
      <c r="H17" s="220">
        <v>10970</v>
      </c>
      <c r="I17" s="220">
        <v>10970</v>
      </c>
      <c r="J17" s="220">
        <v>10970</v>
      </c>
      <c r="K17" s="220">
        <v>10970</v>
      </c>
    </row>
    <row r="18" spans="1:11" ht="25.5" x14ac:dyDescent="0.25">
      <c r="A18" s="19" t="s">
        <v>122</v>
      </c>
      <c r="B18" s="109">
        <v>4793515.5</v>
      </c>
      <c r="C18" s="220">
        <v>757777</v>
      </c>
      <c r="D18" s="220"/>
      <c r="E18" s="220">
        <v>971610</v>
      </c>
      <c r="F18" s="220"/>
      <c r="G18" s="220">
        <v>1053160</v>
      </c>
      <c r="H18" s="220">
        <v>1053160</v>
      </c>
      <c r="I18" s="220">
        <v>1053160</v>
      </c>
      <c r="J18" s="220">
        <v>1053160</v>
      </c>
      <c r="K18" s="220">
        <v>1053160</v>
      </c>
    </row>
    <row r="19" spans="1:11" ht="25.5" x14ac:dyDescent="0.25">
      <c r="A19" s="19" t="s">
        <v>123</v>
      </c>
      <c r="B19" s="109">
        <v>249057.91</v>
      </c>
      <c r="C19" s="220">
        <v>75591</v>
      </c>
      <c r="D19" s="220"/>
      <c r="E19" s="220">
        <v>115199</v>
      </c>
      <c r="F19" s="220"/>
      <c r="G19" s="220">
        <v>84730</v>
      </c>
      <c r="H19" s="220">
        <v>84730</v>
      </c>
      <c r="I19" s="220">
        <v>84730</v>
      </c>
      <c r="J19" s="220">
        <v>84730</v>
      </c>
      <c r="K19" s="220">
        <v>84730</v>
      </c>
    </row>
    <row r="20" spans="1:11" x14ac:dyDescent="0.25">
      <c r="A20" s="133"/>
      <c r="B20" s="134"/>
      <c r="C20" s="223"/>
      <c r="D20" s="223"/>
      <c r="E20" s="223"/>
      <c r="F20" s="223"/>
      <c r="G20" s="223"/>
      <c r="H20" s="223"/>
      <c r="I20" s="223"/>
      <c r="J20" s="223"/>
      <c r="K20" s="223"/>
    </row>
    <row r="21" spans="1:11" x14ac:dyDescent="0.25">
      <c r="A21" s="15" t="s">
        <v>118</v>
      </c>
      <c r="B21" s="109">
        <v>0</v>
      </c>
      <c r="C21" s="220">
        <f t="shared" ref="C21" si="1">B21/7.5345</f>
        <v>0</v>
      </c>
      <c r="D21" s="220"/>
      <c r="E21" s="224">
        <v>-1902</v>
      </c>
      <c r="F21" s="220"/>
      <c r="G21" s="220"/>
      <c r="H21" s="220"/>
      <c r="I21" s="220"/>
      <c r="J21" s="220"/>
      <c r="K21" s="220"/>
    </row>
    <row r="22" spans="1:11" x14ac:dyDescent="0.25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</row>
    <row r="23" spans="1:11" ht="15.75" x14ac:dyDescent="0.25">
      <c r="A23" s="183" t="s">
        <v>106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</row>
    <row r="24" spans="1:11" ht="18" x14ac:dyDescent="0.25">
      <c r="A24" s="116"/>
      <c r="B24" s="116"/>
      <c r="C24" s="116"/>
      <c r="D24" s="116"/>
      <c r="E24" s="116"/>
      <c r="F24" s="116"/>
      <c r="G24" s="116"/>
      <c r="H24" s="117"/>
      <c r="I24" s="117"/>
      <c r="J24" s="117"/>
      <c r="K24" s="117"/>
    </row>
    <row r="25" spans="1:11" ht="25.5" customHeight="1" x14ac:dyDescent="0.25">
      <c r="A25" s="112" t="s">
        <v>103</v>
      </c>
      <c r="B25" s="177" t="s">
        <v>137</v>
      </c>
      <c r="C25" s="178"/>
      <c r="D25" s="177" t="s">
        <v>138</v>
      </c>
      <c r="E25" s="178"/>
      <c r="F25" s="177" t="s">
        <v>141</v>
      </c>
      <c r="G25" s="178"/>
      <c r="H25" s="177" t="s">
        <v>97</v>
      </c>
      <c r="I25" s="178"/>
      <c r="J25" s="177" t="s">
        <v>140</v>
      </c>
      <c r="K25" s="178"/>
    </row>
    <row r="26" spans="1:11" x14ac:dyDescent="0.25">
      <c r="A26" s="112"/>
      <c r="B26" s="111" t="s">
        <v>47</v>
      </c>
      <c r="C26" s="111" t="s">
        <v>48</v>
      </c>
      <c r="D26" s="111" t="s">
        <v>47</v>
      </c>
      <c r="E26" s="111" t="s">
        <v>48</v>
      </c>
      <c r="F26" s="111" t="s">
        <v>47</v>
      </c>
      <c r="G26" s="111" t="s">
        <v>48</v>
      </c>
      <c r="H26" s="111" t="s">
        <v>47</v>
      </c>
      <c r="I26" s="111" t="s">
        <v>48</v>
      </c>
      <c r="J26" s="111" t="s">
        <v>47</v>
      </c>
      <c r="K26" s="111" t="s">
        <v>48</v>
      </c>
    </row>
    <row r="27" spans="1:11" x14ac:dyDescent="0.25">
      <c r="A27" s="113" t="s">
        <v>3</v>
      </c>
      <c r="B27" s="114">
        <f>SUM(B28:B36)</f>
        <v>5931319.3700000001</v>
      </c>
      <c r="C27" s="225">
        <f t="shared" ref="C27:K27" si="2">SUM(C28:C36)</f>
        <v>961801</v>
      </c>
      <c r="D27" s="225">
        <f t="shared" si="2"/>
        <v>0</v>
      </c>
      <c r="E27" s="225">
        <f>SUM(E28:E36)</f>
        <v>1240101</v>
      </c>
      <c r="F27" s="225">
        <f t="shared" si="2"/>
        <v>0</v>
      </c>
      <c r="G27" s="225">
        <f t="shared" si="2"/>
        <v>1279200</v>
      </c>
      <c r="H27" s="225">
        <f t="shared" si="2"/>
        <v>1279200</v>
      </c>
      <c r="I27" s="225">
        <f t="shared" si="2"/>
        <v>1279195</v>
      </c>
      <c r="J27" s="225">
        <f t="shared" si="2"/>
        <v>1279200</v>
      </c>
      <c r="K27" s="225">
        <f t="shared" si="2"/>
        <v>1279195</v>
      </c>
    </row>
    <row r="28" spans="1:11" x14ac:dyDescent="0.25">
      <c r="A28" s="15" t="s">
        <v>117</v>
      </c>
      <c r="B28" s="109">
        <v>410242.8</v>
      </c>
      <c r="C28" s="220">
        <v>56876</v>
      </c>
      <c r="D28" s="220"/>
      <c r="E28" s="220">
        <v>80887</v>
      </c>
      <c r="F28" s="220"/>
      <c r="G28" s="220">
        <v>65270</v>
      </c>
      <c r="H28" s="220">
        <v>65270</v>
      </c>
      <c r="I28" s="220">
        <v>65270</v>
      </c>
      <c r="J28" s="220">
        <v>65270</v>
      </c>
      <c r="K28" s="220">
        <v>65270</v>
      </c>
    </row>
    <row r="29" spans="1:11" x14ac:dyDescent="0.25">
      <c r="A29" s="15">
        <v>22</v>
      </c>
      <c r="B29" s="109"/>
      <c r="C29" s="220">
        <v>85</v>
      </c>
      <c r="D29" s="220"/>
      <c r="E29" s="220">
        <v>4270</v>
      </c>
      <c r="F29" s="220"/>
      <c r="G29" s="220"/>
      <c r="H29" s="220"/>
      <c r="I29" s="220"/>
      <c r="J29" s="220"/>
      <c r="K29" s="220"/>
    </row>
    <row r="30" spans="1:11" x14ac:dyDescent="0.25">
      <c r="A30" s="15" t="s">
        <v>116</v>
      </c>
      <c r="B30" s="109">
        <v>0</v>
      </c>
      <c r="C30" s="220">
        <f t="shared" ref="C30" si="3">B30/7.5345</f>
        <v>0</v>
      </c>
      <c r="D30" s="220"/>
      <c r="E30" s="220">
        <v>0</v>
      </c>
      <c r="F30" s="220"/>
      <c r="G30" s="220"/>
      <c r="H30" s="220"/>
      <c r="I30" s="220"/>
      <c r="J30" s="220"/>
      <c r="K30" s="220"/>
    </row>
    <row r="31" spans="1:11" x14ac:dyDescent="0.25">
      <c r="A31" s="15" t="s">
        <v>118</v>
      </c>
      <c r="B31" s="109">
        <v>0</v>
      </c>
      <c r="C31" s="220">
        <v>1934</v>
      </c>
      <c r="D31" s="220"/>
      <c r="E31" s="220">
        <f>1575+684</f>
        <v>2259</v>
      </c>
      <c r="F31" s="220"/>
      <c r="G31" s="220"/>
      <c r="H31" s="220"/>
      <c r="I31" s="220"/>
      <c r="J31" s="220"/>
      <c r="K31" s="220"/>
    </row>
    <row r="32" spans="1:11" x14ac:dyDescent="0.25">
      <c r="A32" s="15" t="s">
        <v>119</v>
      </c>
      <c r="B32" s="109">
        <v>456000</v>
      </c>
      <c r="C32" s="220">
        <v>61319</v>
      </c>
      <c r="D32" s="220"/>
      <c r="E32" s="220">
        <v>63000</v>
      </c>
      <c r="F32" s="220"/>
      <c r="G32" s="220">
        <v>65000</v>
      </c>
      <c r="H32" s="220">
        <v>65000</v>
      </c>
      <c r="I32" s="220">
        <v>65000</v>
      </c>
      <c r="J32" s="220">
        <v>65000</v>
      </c>
      <c r="K32" s="220">
        <v>65000</v>
      </c>
    </row>
    <row r="33" spans="1:13" x14ac:dyDescent="0.25">
      <c r="A33" s="15" t="s">
        <v>120</v>
      </c>
      <c r="B33" s="109">
        <v>625.42999999999995</v>
      </c>
      <c r="C33" s="220">
        <v>63</v>
      </c>
      <c r="D33" s="220"/>
      <c r="E33" s="220">
        <v>65</v>
      </c>
      <c r="F33" s="220"/>
      <c r="G33" s="220">
        <v>70</v>
      </c>
      <c r="H33" s="220">
        <v>70</v>
      </c>
      <c r="I33" s="220">
        <v>65</v>
      </c>
      <c r="J33" s="220">
        <v>70</v>
      </c>
      <c r="K33" s="220">
        <v>65</v>
      </c>
    </row>
    <row r="34" spans="1:13" x14ac:dyDescent="0.25">
      <c r="A34" s="15" t="s">
        <v>121</v>
      </c>
      <c r="B34" s="109">
        <v>46400</v>
      </c>
      <c r="C34" s="220">
        <v>6249</v>
      </c>
      <c r="D34" s="220"/>
      <c r="E34" s="220">
        <v>6972</v>
      </c>
      <c r="F34" s="220"/>
      <c r="G34" s="220">
        <v>10970</v>
      </c>
      <c r="H34" s="220">
        <v>10970</v>
      </c>
      <c r="I34" s="220">
        <v>10970</v>
      </c>
      <c r="J34" s="220">
        <v>10970</v>
      </c>
      <c r="K34" s="220">
        <v>10970</v>
      </c>
    </row>
    <row r="35" spans="1:13" ht="25.5" x14ac:dyDescent="0.25">
      <c r="A35" s="19" t="s">
        <v>122</v>
      </c>
      <c r="B35" s="109">
        <v>4793502.25</v>
      </c>
      <c r="C35" s="220">
        <v>757776.5</v>
      </c>
      <c r="D35" s="220"/>
      <c r="E35" s="220">
        <v>971610</v>
      </c>
      <c r="F35" s="220"/>
      <c r="G35" s="220">
        <v>1053160</v>
      </c>
      <c r="H35" s="220">
        <v>1053160</v>
      </c>
      <c r="I35" s="220">
        <v>1053160</v>
      </c>
      <c r="J35" s="220">
        <v>1053160</v>
      </c>
      <c r="K35" s="220">
        <v>1053160</v>
      </c>
    </row>
    <row r="36" spans="1:13" ht="25.5" x14ac:dyDescent="0.25">
      <c r="A36" s="19" t="s">
        <v>123</v>
      </c>
      <c r="B36" s="109">
        <v>224548.89</v>
      </c>
      <c r="C36" s="220">
        <v>77498.5</v>
      </c>
      <c r="D36" s="220"/>
      <c r="E36" s="220">
        <v>111038</v>
      </c>
      <c r="F36" s="220"/>
      <c r="G36" s="220">
        <v>84730</v>
      </c>
      <c r="H36" s="220">
        <v>84730</v>
      </c>
      <c r="I36" s="220">
        <v>84730</v>
      </c>
      <c r="J36" s="220">
        <v>84730</v>
      </c>
      <c r="K36" s="220">
        <v>84730</v>
      </c>
    </row>
    <row r="38" spans="1:13" x14ac:dyDescent="0.25">
      <c r="M38" s="90"/>
    </row>
    <row r="39" spans="1:13" x14ac:dyDescent="0.25">
      <c r="M39" s="90"/>
    </row>
  </sheetData>
  <mergeCells count="15">
    <mergeCell ref="A1:K1"/>
    <mergeCell ref="A3:K3"/>
    <mergeCell ref="A5:K5"/>
    <mergeCell ref="A7:K7"/>
    <mergeCell ref="A23:K23"/>
    <mergeCell ref="B9:C9"/>
    <mergeCell ref="D9:E9"/>
    <mergeCell ref="F9:G9"/>
    <mergeCell ref="H9:I9"/>
    <mergeCell ref="J9:K9"/>
    <mergeCell ref="B25:C25"/>
    <mergeCell ref="D25:E25"/>
    <mergeCell ref="F25:G25"/>
    <mergeCell ref="H25:I25"/>
    <mergeCell ref="J25:K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2"/>
  <sheetViews>
    <sheetView showGridLines="0" workbookViewId="0">
      <selection sqref="A1:O1"/>
    </sheetView>
  </sheetViews>
  <sheetFormatPr defaultRowHeight="15" x14ac:dyDescent="0.25"/>
  <cols>
    <col min="1" max="1" width="37.7109375" customWidth="1"/>
    <col min="2" max="5" width="37.7109375" hidden="1" customWidth="1"/>
    <col min="6" max="6" width="17.7109375" hidden="1" customWidth="1"/>
    <col min="7" max="7" width="17.7109375" customWidth="1"/>
    <col min="8" max="8" width="17.7109375" hidden="1" customWidth="1"/>
    <col min="9" max="9" width="17.7109375" customWidth="1"/>
    <col min="10" max="10" width="17.7109375" hidden="1" customWidth="1"/>
    <col min="11" max="11" width="17.7109375" customWidth="1"/>
    <col min="12" max="12" width="17.7109375" hidden="1" customWidth="1"/>
    <col min="13" max="13" width="17.7109375" customWidth="1"/>
    <col min="14" max="14" width="17.7109375" hidden="1" customWidth="1"/>
    <col min="15" max="15" width="17.7109375" customWidth="1"/>
  </cols>
  <sheetData>
    <row r="1" spans="1:15" ht="42" customHeight="1" x14ac:dyDescent="0.25">
      <c r="A1" s="149" t="str">
        <f>+SAŽETAK!A1</f>
        <v>FINANCIJSKI PLAN OSNOVNE ŠKOLE ANTUNA MASLE - ORAŠAC ZA 2025. I PROJEKCIJA ZA 2026. I 2027. GODINU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8" customHeight="1" x14ac:dyDescent="0.25">
      <c r="A2" s="5"/>
      <c r="B2" s="28"/>
      <c r="C2" s="28"/>
      <c r="D2" s="28"/>
      <c r="E2" s="28"/>
      <c r="F2" s="5"/>
      <c r="G2" s="28"/>
      <c r="H2" s="5"/>
      <c r="I2" s="28"/>
      <c r="J2" s="5"/>
      <c r="K2" s="28"/>
      <c r="L2" s="5"/>
      <c r="M2" s="28"/>
      <c r="N2" s="5"/>
      <c r="O2" s="28"/>
    </row>
    <row r="3" spans="1:15" ht="15.75" x14ac:dyDescent="0.25">
      <c r="A3" s="149" t="s">
        <v>31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ht="18" x14ac:dyDescent="0.25">
      <c r="A4" s="5"/>
      <c r="B4" s="28"/>
      <c r="C4" s="28"/>
      <c r="D4" s="28"/>
      <c r="E4" s="28"/>
      <c r="F4" s="5"/>
      <c r="G4" s="28"/>
      <c r="H4" s="5"/>
      <c r="I4" s="28"/>
      <c r="J4" s="5"/>
      <c r="K4" s="28"/>
      <c r="L4" s="6"/>
      <c r="M4" s="6"/>
      <c r="N4" s="6"/>
      <c r="O4" s="6"/>
    </row>
    <row r="5" spans="1:15" ht="18" customHeight="1" x14ac:dyDescent="0.25">
      <c r="A5" s="149" t="s">
        <v>12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5" ht="18" x14ac:dyDescent="0.25">
      <c r="A6" s="5"/>
      <c r="B6" s="28"/>
      <c r="C6" s="28"/>
      <c r="D6" s="28"/>
      <c r="E6" s="28"/>
      <c r="F6" s="5"/>
      <c r="G6" s="28"/>
      <c r="H6" s="5"/>
      <c r="I6" s="28"/>
      <c r="J6" s="5"/>
      <c r="K6" s="28"/>
      <c r="L6" s="6"/>
      <c r="M6" s="6"/>
      <c r="N6" s="6"/>
      <c r="O6" s="6"/>
    </row>
    <row r="7" spans="1:15" ht="15.75" customHeight="1" x14ac:dyDescent="0.25">
      <c r="A7" s="149" t="s">
        <v>24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</row>
    <row r="8" spans="1:15" ht="18" x14ac:dyDescent="0.25">
      <c r="A8" s="5"/>
      <c r="B8" s="28"/>
      <c r="C8" s="28"/>
      <c r="D8" s="28"/>
      <c r="E8" s="28"/>
      <c r="F8" s="5"/>
      <c r="G8" s="28"/>
      <c r="H8" s="5"/>
      <c r="I8" s="28"/>
      <c r="J8" s="5"/>
      <c r="K8" s="28"/>
      <c r="L8" s="6"/>
      <c r="M8" s="6"/>
      <c r="N8" s="6"/>
      <c r="O8" s="6"/>
    </row>
    <row r="9" spans="1:15" ht="29.25" customHeight="1" x14ac:dyDescent="0.25">
      <c r="A9" s="24" t="s">
        <v>25</v>
      </c>
      <c r="B9" s="23"/>
      <c r="C9" s="23"/>
      <c r="D9" s="23"/>
      <c r="E9" s="23"/>
      <c r="F9" s="177" t="s">
        <v>137</v>
      </c>
      <c r="G9" s="178"/>
      <c r="H9" s="177" t="s">
        <v>138</v>
      </c>
      <c r="I9" s="178"/>
      <c r="J9" s="177" t="s">
        <v>141</v>
      </c>
      <c r="K9" s="178"/>
      <c r="L9" s="179" t="s">
        <v>97</v>
      </c>
      <c r="M9" s="181"/>
      <c r="N9" s="179" t="s">
        <v>140</v>
      </c>
      <c r="O9" s="181"/>
    </row>
    <row r="10" spans="1:15" x14ac:dyDescent="0.25">
      <c r="A10" s="24"/>
      <c r="B10" s="23"/>
      <c r="C10" s="23"/>
      <c r="D10" s="23"/>
      <c r="E10" s="23"/>
      <c r="F10" s="111" t="s">
        <v>47</v>
      </c>
      <c r="G10" s="111" t="s">
        <v>48</v>
      </c>
      <c r="H10" s="111" t="s">
        <v>47</v>
      </c>
      <c r="I10" s="111" t="s">
        <v>48</v>
      </c>
      <c r="J10" s="111" t="s">
        <v>47</v>
      </c>
      <c r="K10" s="111" t="s">
        <v>48</v>
      </c>
      <c r="L10" s="23" t="s">
        <v>47</v>
      </c>
      <c r="M10" s="23" t="s">
        <v>48</v>
      </c>
      <c r="N10" s="23" t="s">
        <v>47</v>
      </c>
      <c r="O10" s="23" t="s">
        <v>48</v>
      </c>
    </row>
    <row r="11" spans="1:15" s="65" customFormat="1" ht="15.75" customHeight="1" x14ac:dyDescent="0.25">
      <c r="A11" s="13" t="s">
        <v>26</v>
      </c>
      <c r="B11" s="55"/>
      <c r="C11" s="55"/>
      <c r="D11" s="55"/>
      <c r="E11" s="55"/>
      <c r="F11" s="106">
        <f>+F12</f>
        <v>5931319.3700000001</v>
      </c>
      <c r="G11" s="227">
        <f t="shared" ref="G11:O12" si="0">+G12</f>
        <v>961800.98</v>
      </c>
      <c r="H11" s="227">
        <f t="shared" si="0"/>
        <v>0</v>
      </c>
      <c r="I11" s="227">
        <f t="shared" si="0"/>
        <v>1240101</v>
      </c>
      <c r="J11" s="227">
        <f t="shared" si="0"/>
        <v>700</v>
      </c>
      <c r="K11" s="227">
        <f t="shared" si="0"/>
        <v>1279200</v>
      </c>
      <c r="L11" s="226">
        <f t="shared" si="0"/>
        <v>700</v>
      </c>
      <c r="M11" s="226">
        <f t="shared" si="0"/>
        <v>1279195</v>
      </c>
      <c r="N11" s="226">
        <f t="shared" si="0"/>
        <v>700</v>
      </c>
      <c r="O11" s="226">
        <f t="shared" si="0"/>
        <v>1279195</v>
      </c>
    </row>
    <row r="12" spans="1:15" s="65" customFormat="1" ht="15.75" customHeight="1" x14ac:dyDescent="0.25">
      <c r="A12" s="13" t="s">
        <v>89</v>
      </c>
      <c r="B12" s="55"/>
      <c r="C12" s="55"/>
      <c r="D12" s="55"/>
      <c r="E12" s="55"/>
      <c r="F12" s="106">
        <f>+F13</f>
        <v>5931319.3700000001</v>
      </c>
      <c r="G12" s="227">
        <f t="shared" si="0"/>
        <v>961800.98</v>
      </c>
      <c r="H12" s="227">
        <f t="shared" si="0"/>
        <v>0</v>
      </c>
      <c r="I12" s="227">
        <f t="shared" si="0"/>
        <v>1240101</v>
      </c>
      <c r="J12" s="227">
        <f t="shared" si="0"/>
        <v>700</v>
      </c>
      <c r="K12" s="227">
        <f t="shared" si="0"/>
        <v>1279200</v>
      </c>
      <c r="L12" s="226">
        <f t="shared" si="0"/>
        <v>700</v>
      </c>
      <c r="M12" s="226">
        <f t="shared" si="0"/>
        <v>1279195</v>
      </c>
      <c r="N12" s="226">
        <f t="shared" si="0"/>
        <v>700</v>
      </c>
      <c r="O12" s="226">
        <f t="shared" si="0"/>
        <v>1279195</v>
      </c>
    </row>
    <row r="13" spans="1:15" x14ac:dyDescent="0.25">
      <c r="A13" s="19" t="s">
        <v>90</v>
      </c>
      <c r="B13" s="56"/>
      <c r="C13" s="56"/>
      <c r="D13" s="56"/>
      <c r="E13" s="56"/>
      <c r="F13" s="108">
        <f>+'POSEBNI DIO'!F4</f>
        <v>5931319.3700000001</v>
      </c>
      <c r="G13" s="219">
        <f>+'POSEBNI DIO'!G4</f>
        <v>961800.98</v>
      </c>
      <c r="H13" s="219">
        <f>+'POSEBNI DIO'!H4</f>
        <v>0</v>
      </c>
      <c r="I13" s="219">
        <f>'Prihodi i rashodi po izvorima'!E27</f>
        <v>1240101</v>
      </c>
      <c r="J13" s="219">
        <f>+'POSEBNI DIO'!J4</f>
        <v>700</v>
      </c>
      <c r="K13" s="219">
        <f>'POSEBNI DIO'!K4</f>
        <v>1279200</v>
      </c>
      <c r="L13" s="219">
        <f>'POSEBNI DIO'!L4</f>
        <v>700</v>
      </c>
      <c r="M13" s="219">
        <f>'POSEBNI DIO'!M4</f>
        <v>1279195</v>
      </c>
      <c r="N13" s="219">
        <f>'POSEBNI DIO'!N4</f>
        <v>700</v>
      </c>
      <c r="O13" s="219">
        <f>'POSEBNI DIO'!O4</f>
        <v>1279195</v>
      </c>
    </row>
    <row r="18" spans="6:15" x14ac:dyDescent="0.25">
      <c r="G18" s="76"/>
    </row>
    <row r="22" spans="6:15" x14ac:dyDescent="0.25">
      <c r="F22" s="184"/>
      <c r="G22" s="184"/>
      <c r="H22" s="184"/>
      <c r="I22" s="184"/>
      <c r="J22" s="184"/>
      <c r="K22" s="184"/>
      <c r="L22" s="184"/>
      <c r="M22" s="184"/>
      <c r="N22" s="184"/>
      <c r="O22" s="184"/>
    </row>
  </sheetData>
  <mergeCells count="14">
    <mergeCell ref="A3:O3"/>
    <mergeCell ref="A1:O1"/>
    <mergeCell ref="N22:O22"/>
    <mergeCell ref="L22:M22"/>
    <mergeCell ref="J22:K22"/>
    <mergeCell ref="H22:I22"/>
    <mergeCell ref="F22:G22"/>
    <mergeCell ref="F9:G9"/>
    <mergeCell ref="H9:I9"/>
    <mergeCell ref="J9:K9"/>
    <mergeCell ref="L9:M9"/>
    <mergeCell ref="N9:O9"/>
    <mergeCell ref="A7:O7"/>
    <mergeCell ref="A5:O5"/>
  </mergeCell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17"/>
  <sheetViews>
    <sheetView showGridLines="0" zoomScaleNormal="100" workbookViewId="0">
      <selection sqref="A1:O1"/>
    </sheetView>
  </sheetViews>
  <sheetFormatPr defaultRowHeight="15" x14ac:dyDescent="0.25"/>
  <cols>
    <col min="1" max="1" width="1.140625" customWidth="1"/>
    <col min="2" max="2" width="8.42578125" hidden="1" customWidth="1"/>
    <col min="3" max="3" width="8.7109375" customWidth="1"/>
    <col min="4" max="4" width="61.140625" customWidth="1"/>
    <col min="5" max="5" width="64.85546875" hidden="1" customWidth="1"/>
    <col min="6" max="6" width="15.140625" hidden="1" customWidth="1"/>
    <col min="7" max="7" width="15.140625" customWidth="1"/>
    <col min="8" max="8" width="15.140625" hidden="1" customWidth="1"/>
    <col min="9" max="9" width="15.140625" customWidth="1"/>
    <col min="10" max="10" width="15.140625" hidden="1" customWidth="1"/>
    <col min="11" max="11" width="15.140625" customWidth="1"/>
    <col min="12" max="12" width="15.140625" hidden="1" customWidth="1"/>
    <col min="13" max="13" width="15.140625" customWidth="1"/>
    <col min="14" max="14" width="15.140625" hidden="1" customWidth="1"/>
    <col min="15" max="15" width="15.140625" customWidth="1"/>
  </cols>
  <sheetData>
    <row r="1" spans="1:15" ht="42" customHeight="1" x14ac:dyDescent="0.25">
      <c r="A1" s="149" t="str">
        <f>+SAŽETAK!A1</f>
        <v>FINANCIJSKI PLAN OSNOVNE ŠKOLE ANTUNA MASLE - ORAŠAC ZA 2025. I PROJEKCIJA ZA 2026. I 2027. GODINU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8" x14ac:dyDescent="0.25">
      <c r="A2" s="5"/>
      <c r="B2" s="5"/>
      <c r="C2" s="5"/>
      <c r="D2" s="5"/>
      <c r="E2" s="28"/>
      <c r="F2" s="5"/>
      <c r="G2" s="28"/>
      <c r="H2" s="5"/>
      <c r="I2" s="28"/>
      <c r="J2" s="5"/>
      <c r="K2" s="28"/>
      <c r="L2" s="6"/>
      <c r="M2" s="6"/>
      <c r="N2" s="6"/>
      <c r="O2" s="6"/>
    </row>
    <row r="3" spans="1:15" ht="18" customHeight="1" x14ac:dyDescent="0.25">
      <c r="A3" s="149" t="s">
        <v>30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5" ht="18" x14ac:dyDescent="0.25">
      <c r="A4" s="5"/>
      <c r="B4" s="5"/>
      <c r="C4" s="5"/>
      <c r="D4" s="5"/>
      <c r="E4" s="28"/>
      <c r="F4" s="96">
        <f>+F7+F19+F92+F97</f>
        <v>5931319.3700000001</v>
      </c>
      <c r="G4" s="233">
        <f t="shared" ref="G4:O4" si="0">+G7+G19+G92+G97</f>
        <v>961800.98</v>
      </c>
      <c r="H4" s="132">
        <f t="shared" si="0"/>
        <v>0</v>
      </c>
      <c r="I4" s="233">
        <f t="shared" si="0"/>
        <v>1240101</v>
      </c>
      <c r="J4" s="233">
        <f t="shared" si="0"/>
        <v>700</v>
      </c>
      <c r="K4" s="233">
        <f t="shared" si="0"/>
        <v>1279200</v>
      </c>
      <c r="L4" s="233">
        <f t="shared" si="0"/>
        <v>700</v>
      </c>
      <c r="M4" s="233">
        <f t="shared" si="0"/>
        <v>1279195</v>
      </c>
      <c r="N4" s="233">
        <f t="shared" si="0"/>
        <v>700</v>
      </c>
      <c r="O4" s="233">
        <f t="shared" si="0"/>
        <v>1279195</v>
      </c>
    </row>
    <row r="5" spans="1:15" ht="30.75" customHeight="1" x14ac:dyDescent="0.25">
      <c r="A5" s="211" t="s">
        <v>32</v>
      </c>
      <c r="B5" s="212"/>
      <c r="C5" s="213"/>
      <c r="D5" s="209" t="s">
        <v>33</v>
      </c>
      <c r="E5" s="23"/>
      <c r="F5" s="206" t="s">
        <v>137</v>
      </c>
      <c r="G5" s="207"/>
      <c r="H5" s="206" t="s">
        <v>138</v>
      </c>
      <c r="I5" s="207"/>
      <c r="J5" s="206" t="s">
        <v>141</v>
      </c>
      <c r="K5" s="207"/>
      <c r="L5" s="206" t="s">
        <v>97</v>
      </c>
      <c r="M5" s="208"/>
      <c r="N5" s="206" t="s">
        <v>140</v>
      </c>
      <c r="O5" s="208"/>
    </row>
    <row r="6" spans="1:15" x14ac:dyDescent="0.25">
      <c r="A6" s="214"/>
      <c r="B6" s="215"/>
      <c r="C6" s="216"/>
      <c r="D6" s="210"/>
      <c r="E6" s="23"/>
      <c r="F6" s="68" t="s">
        <v>47</v>
      </c>
      <c r="G6" s="68" t="s">
        <v>48</v>
      </c>
      <c r="H6" s="68" t="s">
        <v>47</v>
      </c>
      <c r="I6" s="68" t="s">
        <v>48</v>
      </c>
      <c r="J6" s="68" t="s">
        <v>47</v>
      </c>
      <c r="K6" s="68" t="s">
        <v>48</v>
      </c>
      <c r="L6" s="68" t="s">
        <v>47</v>
      </c>
      <c r="M6" s="68" t="s">
        <v>48</v>
      </c>
      <c r="N6" s="68" t="s">
        <v>47</v>
      </c>
      <c r="O6" s="68" t="s">
        <v>48</v>
      </c>
    </row>
    <row r="7" spans="1:15" s="65" customFormat="1" x14ac:dyDescent="0.25">
      <c r="A7" s="203">
        <v>8054</v>
      </c>
      <c r="B7" s="204"/>
      <c r="C7" s="205"/>
      <c r="D7" s="62" t="s">
        <v>49</v>
      </c>
      <c r="E7" s="45"/>
      <c r="F7" s="97">
        <f>+F8+F13</f>
        <v>5191502.25</v>
      </c>
      <c r="G7" s="226">
        <f t="shared" ref="G7:O7" si="1">+G8+G13</f>
        <v>811132</v>
      </c>
      <c r="H7" s="226">
        <f t="shared" si="1"/>
        <v>0</v>
      </c>
      <c r="I7" s="226">
        <f t="shared" si="1"/>
        <v>1028610</v>
      </c>
      <c r="J7" s="227">
        <f t="shared" si="1"/>
        <v>0</v>
      </c>
      <c r="K7" s="227">
        <f t="shared" si="1"/>
        <v>1110160</v>
      </c>
      <c r="L7" s="227">
        <f t="shared" si="1"/>
        <v>0</v>
      </c>
      <c r="M7" s="227">
        <f t="shared" si="1"/>
        <v>1110160</v>
      </c>
      <c r="N7" s="227">
        <f t="shared" si="1"/>
        <v>0</v>
      </c>
      <c r="O7" s="227">
        <f t="shared" si="1"/>
        <v>1110160</v>
      </c>
    </row>
    <row r="8" spans="1:15" s="65" customFormat="1" x14ac:dyDescent="0.25">
      <c r="A8" s="185" t="s">
        <v>50</v>
      </c>
      <c r="B8" s="186"/>
      <c r="C8" s="187"/>
      <c r="D8" s="63" t="s">
        <v>51</v>
      </c>
      <c r="E8" s="63"/>
      <c r="F8" s="98">
        <f>+F9</f>
        <v>398000</v>
      </c>
      <c r="G8" s="228">
        <f t="shared" ref="G8:O9" si="2">+G9</f>
        <v>53355</v>
      </c>
      <c r="H8" s="228">
        <f t="shared" si="2"/>
        <v>0</v>
      </c>
      <c r="I8" s="228">
        <f t="shared" si="2"/>
        <v>57000</v>
      </c>
      <c r="J8" s="229">
        <f t="shared" si="2"/>
        <v>0</v>
      </c>
      <c r="K8" s="229">
        <f t="shared" si="2"/>
        <v>57000</v>
      </c>
      <c r="L8" s="229">
        <f t="shared" si="2"/>
        <v>0</v>
      </c>
      <c r="M8" s="229">
        <f t="shared" si="2"/>
        <v>57000</v>
      </c>
      <c r="N8" s="229">
        <f t="shared" si="2"/>
        <v>0</v>
      </c>
      <c r="O8" s="229">
        <f t="shared" si="2"/>
        <v>57000</v>
      </c>
    </row>
    <row r="9" spans="1:15" x14ac:dyDescent="0.25">
      <c r="A9" s="188">
        <v>31</v>
      </c>
      <c r="B9" s="189"/>
      <c r="C9" s="190"/>
      <c r="D9" s="64" t="s">
        <v>52</v>
      </c>
      <c r="E9" s="64"/>
      <c r="F9" s="99">
        <f>+F10</f>
        <v>398000</v>
      </c>
      <c r="G9" s="221">
        <f t="shared" si="2"/>
        <v>53355</v>
      </c>
      <c r="H9" s="221">
        <f t="shared" si="2"/>
        <v>0</v>
      </c>
      <c r="I9" s="221">
        <f t="shared" si="2"/>
        <v>57000</v>
      </c>
      <c r="J9" s="218">
        <f t="shared" si="2"/>
        <v>0</v>
      </c>
      <c r="K9" s="218">
        <f t="shared" si="2"/>
        <v>57000</v>
      </c>
      <c r="L9" s="218">
        <f t="shared" si="2"/>
        <v>0</v>
      </c>
      <c r="M9" s="218">
        <f t="shared" si="2"/>
        <v>57000</v>
      </c>
      <c r="N9" s="218">
        <f t="shared" si="2"/>
        <v>0</v>
      </c>
      <c r="O9" s="218">
        <f t="shared" si="2"/>
        <v>57000</v>
      </c>
    </row>
    <row r="10" spans="1:15" x14ac:dyDescent="0.25">
      <c r="A10" s="191">
        <v>3</v>
      </c>
      <c r="B10" s="192"/>
      <c r="C10" s="193"/>
      <c r="D10" s="32" t="s">
        <v>21</v>
      </c>
      <c r="E10" s="44"/>
      <c r="F10" s="100">
        <f>SUM(F11:F12)</f>
        <v>398000</v>
      </c>
      <c r="G10" s="10">
        <f t="shared" ref="G10:O10" si="3">SUM(G11:G12)</f>
        <v>53355</v>
      </c>
      <c r="H10" s="10"/>
      <c r="I10" s="10">
        <f>SUM(I11:I12)</f>
        <v>57000</v>
      </c>
      <c r="J10" s="219"/>
      <c r="K10" s="219">
        <f t="shared" si="3"/>
        <v>57000</v>
      </c>
      <c r="L10" s="219">
        <f t="shared" si="3"/>
        <v>0</v>
      </c>
      <c r="M10" s="219">
        <f t="shared" si="3"/>
        <v>57000</v>
      </c>
      <c r="N10" s="219">
        <f t="shared" si="3"/>
        <v>0</v>
      </c>
      <c r="O10" s="219">
        <f t="shared" si="3"/>
        <v>57000</v>
      </c>
    </row>
    <row r="11" spans="1:15" x14ac:dyDescent="0.25">
      <c r="A11" s="194">
        <v>32</v>
      </c>
      <c r="B11" s="195"/>
      <c r="C11" s="196"/>
      <c r="D11" s="32" t="s">
        <v>34</v>
      </c>
      <c r="E11" s="44"/>
      <c r="F11" s="100">
        <v>393169.08</v>
      </c>
      <c r="G11" s="10">
        <f>53355-388-249</f>
        <v>52718</v>
      </c>
      <c r="H11" s="10"/>
      <c r="I11" s="10">
        <f>57000-650-500</f>
        <v>55850</v>
      </c>
      <c r="J11" s="220"/>
      <c r="K11" s="220">
        <f>57000-600</f>
        <v>56400</v>
      </c>
      <c r="L11" s="220">
        <f>J11</f>
        <v>0</v>
      </c>
      <c r="M11" s="220">
        <f>K11</f>
        <v>56400</v>
      </c>
      <c r="N11" s="220">
        <f>L11</f>
        <v>0</v>
      </c>
      <c r="O11" s="220">
        <f>M11</f>
        <v>56400</v>
      </c>
    </row>
    <row r="12" spans="1:15" x14ac:dyDescent="0.25">
      <c r="A12" s="194">
        <v>34</v>
      </c>
      <c r="B12" s="195"/>
      <c r="C12" s="196"/>
      <c r="D12" s="32" t="s">
        <v>56</v>
      </c>
      <c r="E12" s="44"/>
      <c r="F12" s="100">
        <v>4830.92</v>
      </c>
      <c r="G12" s="10">
        <f>388+249</f>
        <v>637</v>
      </c>
      <c r="H12" s="10"/>
      <c r="I12" s="10">
        <f>650+500</f>
        <v>1150</v>
      </c>
      <c r="J12" s="220"/>
      <c r="K12" s="220">
        <v>600</v>
      </c>
      <c r="L12" s="220">
        <f>J12</f>
        <v>0</v>
      </c>
      <c r="M12" s="220">
        <f t="shared" ref="M12:O12" si="4">K12</f>
        <v>600</v>
      </c>
      <c r="N12" s="220">
        <f t="shared" si="4"/>
        <v>0</v>
      </c>
      <c r="O12" s="220">
        <f t="shared" si="4"/>
        <v>600</v>
      </c>
    </row>
    <row r="13" spans="1:15" s="65" customFormat="1" x14ac:dyDescent="0.25">
      <c r="A13" s="185" t="s">
        <v>53</v>
      </c>
      <c r="B13" s="186"/>
      <c r="C13" s="187"/>
      <c r="D13" s="63" t="s">
        <v>54</v>
      </c>
      <c r="E13" s="63"/>
      <c r="F13" s="98">
        <f>+F14</f>
        <v>4793502.25</v>
      </c>
      <c r="G13" s="228">
        <f t="shared" ref="G13:O14" si="5">+G14</f>
        <v>757777</v>
      </c>
      <c r="H13" s="228">
        <f t="shared" si="5"/>
        <v>0</v>
      </c>
      <c r="I13" s="228">
        <f t="shared" si="5"/>
        <v>971610</v>
      </c>
      <c r="J13" s="229">
        <f t="shared" si="5"/>
        <v>0</v>
      </c>
      <c r="K13" s="229">
        <f t="shared" si="5"/>
        <v>1053160</v>
      </c>
      <c r="L13" s="229">
        <f t="shared" si="5"/>
        <v>0</v>
      </c>
      <c r="M13" s="229">
        <f t="shared" si="5"/>
        <v>1053160</v>
      </c>
      <c r="N13" s="229">
        <f t="shared" si="5"/>
        <v>0</v>
      </c>
      <c r="O13" s="229">
        <f t="shared" si="5"/>
        <v>1053160</v>
      </c>
    </row>
    <row r="14" spans="1:15" ht="25.5" x14ac:dyDescent="0.25">
      <c r="A14" s="188">
        <v>49</v>
      </c>
      <c r="B14" s="189"/>
      <c r="C14" s="190"/>
      <c r="D14" s="64" t="s">
        <v>55</v>
      </c>
      <c r="E14" s="64"/>
      <c r="F14" s="101">
        <f>+F15</f>
        <v>4793502.25</v>
      </c>
      <c r="G14" s="230">
        <f t="shared" si="5"/>
        <v>757777</v>
      </c>
      <c r="H14" s="230">
        <f t="shared" si="5"/>
        <v>0</v>
      </c>
      <c r="I14" s="230">
        <f t="shared" si="5"/>
        <v>971610</v>
      </c>
      <c r="J14" s="231">
        <f t="shared" si="5"/>
        <v>0</v>
      </c>
      <c r="K14" s="231">
        <f t="shared" si="5"/>
        <v>1053160</v>
      </c>
      <c r="L14" s="231">
        <f t="shared" si="5"/>
        <v>0</v>
      </c>
      <c r="M14" s="231">
        <f t="shared" si="5"/>
        <v>1053160</v>
      </c>
      <c r="N14" s="231">
        <f t="shared" si="5"/>
        <v>0</v>
      </c>
      <c r="O14" s="231">
        <f t="shared" si="5"/>
        <v>1053160</v>
      </c>
    </row>
    <row r="15" spans="1:15" x14ac:dyDescent="0.25">
      <c r="A15" s="191">
        <v>3</v>
      </c>
      <c r="B15" s="192"/>
      <c r="C15" s="193"/>
      <c r="D15" s="44" t="s">
        <v>21</v>
      </c>
      <c r="E15" s="44"/>
      <c r="F15" s="100">
        <f>SUM(F16:F18)</f>
        <v>4793502.25</v>
      </c>
      <c r="G15" s="10">
        <f t="shared" ref="G15:O15" si="6">SUM(G16:G18)</f>
        <v>757777</v>
      </c>
      <c r="H15" s="10"/>
      <c r="I15" s="10">
        <f t="shared" si="6"/>
        <v>971610</v>
      </c>
      <c r="J15" s="219">
        <f t="shared" si="6"/>
        <v>0</v>
      </c>
      <c r="K15" s="219">
        <f t="shared" si="6"/>
        <v>1053160</v>
      </c>
      <c r="L15" s="219">
        <f t="shared" si="6"/>
        <v>0</v>
      </c>
      <c r="M15" s="219">
        <f t="shared" si="6"/>
        <v>1053160</v>
      </c>
      <c r="N15" s="219">
        <f t="shared" si="6"/>
        <v>0</v>
      </c>
      <c r="O15" s="219">
        <f t="shared" si="6"/>
        <v>1053160</v>
      </c>
    </row>
    <row r="16" spans="1:15" x14ac:dyDescent="0.25">
      <c r="A16" s="194">
        <v>31</v>
      </c>
      <c r="B16" s="195"/>
      <c r="C16" s="196"/>
      <c r="D16" s="44" t="s">
        <v>22</v>
      </c>
      <c r="E16" s="44"/>
      <c r="F16" s="102">
        <v>4575953.3</v>
      </c>
      <c r="G16" s="10">
        <f>597535+98593+883+10898+2924+3300+12589</f>
        <v>726722</v>
      </c>
      <c r="H16" s="10"/>
      <c r="I16" s="10">
        <f>971610-44000</f>
        <v>927610</v>
      </c>
      <c r="J16" s="220"/>
      <c r="K16" s="220">
        <f>1053160-44000</f>
        <v>1009160</v>
      </c>
      <c r="L16" s="220">
        <f t="shared" ref="L16:O17" si="7">J16</f>
        <v>0</v>
      </c>
      <c r="M16" s="220">
        <f t="shared" si="7"/>
        <v>1009160</v>
      </c>
      <c r="N16" s="220">
        <f t="shared" si="7"/>
        <v>0</v>
      </c>
      <c r="O16" s="220">
        <f t="shared" si="7"/>
        <v>1009160</v>
      </c>
    </row>
    <row r="17" spans="1:15" x14ac:dyDescent="0.25">
      <c r="A17" s="194">
        <v>32</v>
      </c>
      <c r="B17" s="195"/>
      <c r="C17" s="196"/>
      <c r="D17" s="44" t="s">
        <v>34</v>
      </c>
      <c r="E17" s="44"/>
      <c r="F17" s="100">
        <v>202329.33</v>
      </c>
      <c r="G17" s="10">
        <f>27991+3064</f>
        <v>31055</v>
      </c>
      <c r="H17" s="10"/>
      <c r="I17" s="10">
        <f>44000</f>
        <v>44000</v>
      </c>
      <c r="J17" s="220"/>
      <c r="K17" s="220">
        <v>44000</v>
      </c>
      <c r="L17" s="220">
        <f t="shared" si="7"/>
        <v>0</v>
      </c>
      <c r="M17" s="220">
        <f t="shared" si="7"/>
        <v>44000</v>
      </c>
      <c r="N17" s="220">
        <f t="shared" si="7"/>
        <v>0</v>
      </c>
      <c r="O17" s="220">
        <f t="shared" si="7"/>
        <v>44000</v>
      </c>
    </row>
    <row r="18" spans="1:15" x14ac:dyDescent="0.25">
      <c r="A18" s="194">
        <v>34</v>
      </c>
      <c r="B18" s="195"/>
      <c r="C18" s="196"/>
      <c r="D18" s="44" t="s">
        <v>56</v>
      </c>
      <c r="E18" s="44"/>
      <c r="F18" s="100">
        <v>15219.62</v>
      </c>
      <c r="G18" s="10">
        <v>0</v>
      </c>
      <c r="H18" s="10"/>
      <c r="I18" s="10">
        <v>0</v>
      </c>
      <c r="J18" s="220"/>
      <c r="K18" s="220">
        <v>0</v>
      </c>
      <c r="L18" s="220">
        <f>+M18*Naslovnica!C8</f>
        <v>0</v>
      </c>
      <c r="M18" s="220"/>
      <c r="N18" s="220">
        <f>+O18*Naslovnica!E8</f>
        <v>0</v>
      </c>
      <c r="O18" s="220"/>
    </row>
    <row r="19" spans="1:15" s="65" customFormat="1" x14ac:dyDescent="0.25">
      <c r="A19" s="203">
        <v>8055</v>
      </c>
      <c r="B19" s="204"/>
      <c r="C19" s="205"/>
      <c r="D19" s="62" t="s">
        <v>57</v>
      </c>
      <c r="E19" s="45"/>
      <c r="F19" s="97">
        <f t="shared" ref="F19:H19" si="8">+F20+F37+F62+F67+F76+F80+F55+F88</f>
        <v>681817.12000000011</v>
      </c>
      <c r="G19" s="226">
        <f t="shared" si="8"/>
        <v>142704.97999999998</v>
      </c>
      <c r="H19" s="226">
        <f t="shared" si="8"/>
        <v>0</v>
      </c>
      <c r="I19" s="226">
        <f>+I20+I37+I62+I67+I76+I80+I55+I88</f>
        <v>205491</v>
      </c>
      <c r="J19" s="227">
        <f t="shared" ref="J19:O19" si="9">+J20+J37+J62+J67+J76+J80+J55+J88</f>
        <v>700</v>
      </c>
      <c r="K19" s="227">
        <f t="shared" si="9"/>
        <v>161040</v>
      </c>
      <c r="L19" s="227">
        <f t="shared" si="9"/>
        <v>700</v>
      </c>
      <c r="M19" s="227">
        <f t="shared" si="9"/>
        <v>161035</v>
      </c>
      <c r="N19" s="227">
        <f t="shared" si="9"/>
        <v>700</v>
      </c>
      <c r="O19" s="227">
        <f t="shared" si="9"/>
        <v>161035</v>
      </c>
    </row>
    <row r="20" spans="1:15" s="65" customFormat="1" x14ac:dyDescent="0.25">
      <c r="A20" s="185" t="s">
        <v>58</v>
      </c>
      <c r="B20" s="186"/>
      <c r="C20" s="187"/>
      <c r="D20" s="63" t="s">
        <v>59</v>
      </c>
      <c r="E20" s="63"/>
      <c r="F20" s="98">
        <f>+F21+F25+F29</f>
        <v>143185.56</v>
      </c>
      <c r="G20" s="228">
        <f>+G21+G25+G29</f>
        <v>16979</v>
      </c>
      <c r="H20" s="228">
        <f t="shared" ref="H20:O20" si="10">+H21+H25+H29</f>
        <v>0</v>
      </c>
      <c r="I20" s="228">
        <f>+I21+I25+I29</f>
        <v>47069</v>
      </c>
      <c r="J20" s="229">
        <f t="shared" si="10"/>
        <v>700</v>
      </c>
      <c r="K20" s="229">
        <f t="shared" si="10"/>
        <v>6900</v>
      </c>
      <c r="L20" s="229">
        <f t="shared" si="10"/>
        <v>700</v>
      </c>
      <c r="M20" s="229">
        <f t="shared" si="10"/>
        <v>6900</v>
      </c>
      <c r="N20" s="229">
        <f t="shared" si="10"/>
        <v>700</v>
      </c>
      <c r="O20" s="229">
        <f t="shared" si="10"/>
        <v>6900</v>
      </c>
    </row>
    <row r="21" spans="1:15" x14ac:dyDescent="0.25">
      <c r="A21" s="188">
        <v>11</v>
      </c>
      <c r="B21" s="189"/>
      <c r="C21" s="190"/>
      <c r="D21" s="64" t="s">
        <v>17</v>
      </c>
      <c r="E21" s="64"/>
      <c r="F21" s="99">
        <f>+F22</f>
        <v>85289.5</v>
      </c>
      <c r="G21" s="221">
        <f t="shared" ref="G21:O21" si="11">+G22</f>
        <v>13382</v>
      </c>
      <c r="H21" s="221">
        <f t="shared" si="11"/>
        <v>0</v>
      </c>
      <c r="I21" s="221">
        <f t="shared" si="11"/>
        <v>20697</v>
      </c>
      <c r="J21" s="218">
        <f>+J22</f>
        <v>0</v>
      </c>
      <c r="K21" s="218">
        <f t="shared" si="11"/>
        <v>6200</v>
      </c>
      <c r="L21" s="218">
        <f t="shared" si="11"/>
        <v>0</v>
      </c>
      <c r="M21" s="218">
        <f t="shared" si="11"/>
        <v>6200</v>
      </c>
      <c r="N21" s="218">
        <f t="shared" si="11"/>
        <v>0</v>
      </c>
      <c r="O21" s="218">
        <f t="shared" si="11"/>
        <v>6200</v>
      </c>
    </row>
    <row r="22" spans="1:15" x14ac:dyDescent="0.25">
      <c r="A22" s="191">
        <v>3</v>
      </c>
      <c r="B22" s="192"/>
      <c r="C22" s="193"/>
      <c r="D22" s="44" t="s">
        <v>21</v>
      </c>
      <c r="E22" s="44"/>
      <c r="F22" s="100">
        <f>SUM(F23:F24)</f>
        <v>85289.5</v>
      </c>
      <c r="G22" s="10">
        <f t="shared" ref="G22:N22" si="12">SUM(G23:G24)</f>
        <v>13382</v>
      </c>
      <c r="H22" s="10"/>
      <c r="I22" s="10">
        <f t="shared" si="12"/>
        <v>20697</v>
      </c>
      <c r="J22" s="219">
        <f>SUM(J23:J24)</f>
        <v>0</v>
      </c>
      <c r="K22" s="219">
        <f t="shared" si="12"/>
        <v>6200</v>
      </c>
      <c r="L22" s="219">
        <f t="shared" si="12"/>
        <v>0</v>
      </c>
      <c r="M22" s="219">
        <f t="shared" si="12"/>
        <v>6200</v>
      </c>
      <c r="N22" s="219">
        <f t="shared" si="12"/>
        <v>0</v>
      </c>
      <c r="O22" s="219">
        <f>M22</f>
        <v>6200</v>
      </c>
    </row>
    <row r="23" spans="1:15" x14ac:dyDescent="0.25">
      <c r="A23" s="194">
        <v>32</v>
      </c>
      <c r="B23" s="195"/>
      <c r="C23" s="196"/>
      <c r="D23" s="44" t="s">
        <v>34</v>
      </c>
      <c r="E23" s="44"/>
      <c r="F23" s="100">
        <v>1352.42</v>
      </c>
      <c r="G23" s="10">
        <v>0</v>
      </c>
      <c r="H23" s="10"/>
      <c r="I23" s="10">
        <f>4000+600</f>
        <v>4600</v>
      </c>
      <c r="J23" s="220">
        <f>+K23*Naslovnica!A13</f>
        <v>0</v>
      </c>
      <c r="K23" s="220">
        <v>4200</v>
      </c>
      <c r="L23" s="220">
        <f>+M23*Naslovnica!C13</f>
        <v>0</v>
      </c>
      <c r="M23" s="220">
        <f>K23</f>
        <v>4200</v>
      </c>
      <c r="N23" s="220">
        <f>+O23*Naslovnica!E13</f>
        <v>0</v>
      </c>
      <c r="O23" s="220">
        <f>M23</f>
        <v>4200</v>
      </c>
    </row>
    <row r="24" spans="1:15" x14ac:dyDescent="0.25">
      <c r="A24" s="194">
        <v>37</v>
      </c>
      <c r="B24" s="195"/>
      <c r="C24" s="196"/>
      <c r="D24" s="44" t="s">
        <v>60</v>
      </c>
      <c r="E24" s="44"/>
      <c r="F24" s="100">
        <v>83937.08</v>
      </c>
      <c r="G24" s="10">
        <f>12005+1377</f>
        <v>13382</v>
      </c>
      <c r="H24" s="10"/>
      <c r="I24" s="10">
        <f>2000+14097</f>
        <v>16097</v>
      </c>
      <c r="J24" s="220">
        <f>+K24*Naslovnica!A14</f>
        <v>0</v>
      </c>
      <c r="K24" s="220">
        <v>2000</v>
      </c>
      <c r="L24" s="220">
        <f>+M24*Naslovnica!C14</f>
        <v>0</v>
      </c>
      <c r="M24" s="220">
        <f>K24</f>
        <v>2000</v>
      </c>
      <c r="N24" s="220">
        <f>+O24*Naslovnica!E14</f>
        <v>0</v>
      </c>
      <c r="O24" s="220">
        <f>M24</f>
        <v>2000</v>
      </c>
    </row>
    <row r="25" spans="1:15" x14ac:dyDescent="0.25">
      <c r="A25" s="188">
        <v>29</v>
      </c>
      <c r="B25" s="189"/>
      <c r="C25" s="190"/>
      <c r="D25" s="64" t="s">
        <v>61</v>
      </c>
      <c r="E25" s="64"/>
      <c r="F25" s="99">
        <f>+F27</f>
        <v>0</v>
      </c>
      <c r="G25" s="221">
        <v>273</v>
      </c>
      <c r="H25" s="221">
        <f t="shared" ref="H25:O25" si="13">+H27</f>
        <v>0</v>
      </c>
      <c r="I25" s="221">
        <f t="shared" si="13"/>
        <v>684</v>
      </c>
      <c r="J25" s="218">
        <f t="shared" si="13"/>
        <v>0</v>
      </c>
      <c r="K25" s="218">
        <f t="shared" si="13"/>
        <v>0</v>
      </c>
      <c r="L25" s="218">
        <f t="shared" si="13"/>
        <v>0</v>
      </c>
      <c r="M25" s="218">
        <f t="shared" si="13"/>
        <v>0</v>
      </c>
      <c r="N25" s="218">
        <f t="shared" si="13"/>
        <v>0</v>
      </c>
      <c r="O25" s="218">
        <f t="shared" si="13"/>
        <v>0</v>
      </c>
    </row>
    <row r="26" spans="1:15" x14ac:dyDescent="0.25">
      <c r="A26" s="135"/>
      <c r="B26" s="136"/>
      <c r="C26" s="137">
        <v>3</v>
      </c>
      <c r="D26" s="137" t="s">
        <v>21</v>
      </c>
      <c r="E26" s="137"/>
      <c r="F26" s="99"/>
      <c r="G26" s="221">
        <f t="shared" ref="G26:H26" si="14">SUM(G27)</f>
        <v>0</v>
      </c>
      <c r="H26" s="221">
        <f t="shared" si="14"/>
        <v>0</v>
      </c>
      <c r="I26" s="221">
        <f>SUM(I27)</f>
        <v>684</v>
      </c>
      <c r="J26" s="221">
        <f t="shared" ref="J26:O26" si="15">SUM(J27)</f>
        <v>0</v>
      </c>
      <c r="K26" s="221">
        <f t="shared" si="15"/>
        <v>0</v>
      </c>
      <c r="L26" s="221">
        <f t="shared" si="15"/>
        <v>0</v>
      </c>
      <c r="M26" s="221">
        <f t="shared" si="15"/>
        <v>0</v>
      </c>
      <c r="N26" s="221">
        <f t="shared" si="15"/>
        <v>0</v>
      </c>
      <c r="O26" s="221">
        <f t="shared" si="15"/>
        <v>0</v>
      </c>
    </row>
    <row r="27" spans="1:15" x14ac:dyDescent="0.25">
      <c r="A27" s="194">
        <v>32</v>
      </c>
      <c r="B27" s="195"/>
      <c r="C27" s="196"/>
      <c r="D27" s="138" t="s">
        <v>34</v>
      </c>
      <c r="E27" s="138"/>
      <c r="F27" s="102">
        <v>0</v>
      </c>
      <c r="G27" s="10">
        <f>+F27/Naslovnica!$A$1</f>
        <v>0</v>
      </c>
      <c r="H27" s="10"/>
      <c r="I27" s="10">
        <v>684</v>
      </c>
      <c r="J27" s="220">
        <f>+K27*Naslovnica!A16</f>
        <v>0</v>
      </c>
      <c r="K27" s="220"/>
      <c r="L27" s="220">
        <f>+M27*Naslovnica!C16</f>
        <v>0</v>
      </c>
      <c r="M27" s="220"/>
      <c r="N27" s="220">
        <f>+O27*Naslovnica!E16</f>
        <v>0</v>
      </c>
      <c r="O27" s="220"/>
    </row>
    <row r="28" spans="1:15" x14ac:dyDescent="0.25">
      <c r="A28" s="194">
        <v>42</v>
      </c>
      <c r="B28" s="195"/>
      <c r="C28" s="196"/>
      <c r="D28" s="85" t="s">
        <v>45</v>
      </c>
      <c r="E28" s="44"/>
      <c r="F28" s="102">
        <v>0</v>
      </c>
      <c r="G28" s="10">
        <f>+F28/Naslovnica!$A$1</f>
        <v>0</v>
      </c>
      <c r="H28" s="10"/>
      <c r="I28" s="10">
        <f>+H28/Naslovnica!$A$1</f>
        <v>0</v>
      </c>
      <c r="J28" s="220">
        <f>+K28*Naslovnica!A17</f>
        <v>0</v>
      </c>
      <c r="K28" s="220"/>
      <c r="L28" s="220">
        <f>+M28*Naslovnica!C17</f>
        <v>0</v>
      </c>
      <c r="M28" s="220"/>
      <c r="N28" s="220">
        <f>+O28*Naslovnica!E17</f>
        <v>0</v>
      </c>
      <c r="O28" s="220"/>
    </row>
    <row r="29" spans="1:15" x14ac:dyDescent="0.25">
      <c r="A29" s="188">
        <v>55</v>
      </c>
      <c r="B29" s="189"/>
      <c r="C29" s="190"/>
      <c r="D29" s="64" t="s">
        <v>62</v>
      </c>
      <c r="E29" s="64"/>
      <c r="F29" s="99">
        <f>+F30+F35</f>
        <v>57896.06</v>
      </c>
      <c r="G29" s="221">
        <f>+G30+G35</f>
        <v>3324</v>
      </c>
      <c r="H29" s="221">
        <f t="shared" ref="H29:O29" si="16">+H30+H35</f>
        <v>0</v>
      </c>
      <c r="I29" s="221">
        <f t="shared" si="16"/>
        <v>25688</v>
      </c>
      <c r="J29" s="218">
        <f t="shared" si="16"/>
        <v>700</v>
      </c>
      <c r="K29" s="218">
        <f t="shared" si="16"/>
        <v>700</v>
      </c>
      <c r="L29" s="218">
        <f t="shared" si="16"/>
        <v>700</v>
      </c>
      <c r="M29" s="218">
        <f t="shared" si="16"/>
        <v>700</v>
      </c>
      <c r="N29" s="218">
        <f t="shared" si="16"/>
        <v>700</v>
      </c>
      <c r="O29" s="218">
        <f t="shared" si="16"/>
        <v>700</v>
      </c>
    </row>
    <row r="30" spans="1:15" x14ac:dyDescent="0.25">
      <c r="A30" s="200">
        <v>3</v>
      </c>
      <c r="B30" s="201"/>
      <c r="C30" s="202"/>
      <c r="D30" s="57" t="s">
        <v>21</v>
      </c>
      <c r="E30" s="44"/>
      <c r="F30" s="100">
        <f>SUM(F32:F34)</f>
        <v>55896.06</v>
      </c>
      <c r="G30" s="10">
        <f>SUM(G31:H34)</f>
        <v>3021</v>
      </c>
      <c r="H30" s="10">
        <f t="shared" ref="H30:O30" si="17">SUM(H32:H34)</f>
        <v>0</v>
      </c>
      <c r="I30" s="10">
        <f>SUM(I31:J36)</f>
        <v>25688</v>
      </c>
      <c r="J30" s="10">
        <f t="shared" ref="J30:O30" si="18">SUM(J31:K36)</f>
        <v>700</v>
      </c>
      <c r="K30" s="10">
        <f t="shared" si="18"/>
        <v>700</v>
      </c>
      <c r="L30" s="10">
        <f t="shared" si="18"/>
        <v>700</v>
      </c>
      <c r="M30" s="10">
        <f t="shared" si="18"/>
        <v>700</v>
      </c>
      <c r="N30" s="10">
        <f t="shared" si="18"/>
        <v>700</v>
      </c>
      <c r="O30" s="10">
        <f t="shared" si="18"/>
        <v>700</v>
      </c>
    </row>
    <row r="31" spans="1:15" x14ac:dyDescent="0.25">
      <c r="A31" s="139"/>
      <c r="B31" s="140"/>
      <c r="C31" s="141">
        <v>31</v>
      </c>
      <c r="D31" s="141" t="s">
        <v>22</v>
      </c>
      <c r="E31" s="138"/>
      <c r="F31" s="100"/>
      <c r="G31" s="10">
        <f>295+49</f>
        <v>344</v>
      </c>
      <c r="H31" s="10"/>
      <c r="I31" s="10">
        <f>20570+3390</f>
        <v>23960</v>
      </c>
      <c r="J31" s="219"/>
      <c r="K31" s="219"/>
      <c r="L31" s="219"/>
      <c r="M31" s="219"/>
      <c r="N31" s="219"/>
      <c r="O31" s="219"/>
    </row>
    <row r="32" spans="1:15" x14ac:dyDescent="0.25">
      <c r="A32" s="197">
        <v>32</v>
      </c>
      <c r="B32" s="198"/>
      <c r="C32" s="199"/>
      <c r="D32" s="57" t="s">
        <v>34</v>
      </c>
      <c r="E32" s="44"/>
      <c r="F32" s="100">
        <v>55896.06</v>
      </c>
      <c r="G32" s="10">
        <f>54+1845+139+84</f>
        <v>2122</v>
      </c>
      <c r="H32" s="10"/>
      <c r="I32" s="10">
        <f>600+50+550</f>
        <v>1200</v>
      </c>
      <c r="J32" s="220"/>
      <c r="K32" s="220">
        <v>100</v>
      </c>
      <c r="L32" s="220">
        <f>J32</f>
        <v>0</v>
      </c>
      <c r="M32" s="220">
        <f t="shared" ref="M32:O34" si="19">K32</f>
        <v>100</v>
      </c>
      <c r="N32" s="220">
        <f t="shared" si="19"/>
        <v>0</v>
      </c>
      <c r="O32" s="220">
        <f t="shared" si="19"/>
        <v>100</v>
      </c>
    </row>
    <row r="33" spans="1:15" x14ac:dyDescent="0.25">
      <c r="A33" s="197">
        <v>37</v>
      </c>
      <c r="B33" s="198"/>
      <c r="C33" s="199"/>
      <c r="D33" s="57" t="s">
        <v>60</v>
      </c>
      <c r="E33" s="44"/>
      <c r="F33" s="100">
        <v>0</v>
      </c>
      <c r="G33" s="10">
        <f>+F33/Naslovnica!$A$1</f>
        <v>0</v>
      </c>
      <c r="H33" s="10"/>
      <c r="I33" s="10">
        <f>+H33/Naslovnica!$A$1</f>
        <v>0</v>
      </c>
      <c r="J33" s="220">
        <f>+K33*Naslovnica!A22</f>
        <v>0</v>
      </c>
      <c r="K33" s="220"/>
      <c r="L33" s="220">
        <f>+M33*Naslovnica!C22</f>
        <v>0</v>
      </c>
      <c r="M33" s="220">
        <f t="shared" si="19"/>
        <v>0</v>
      </c>
      <c r="N33" s="220">
        <f>+O33*Naslovnica!E22</f>
        <v>0</v>
      </c>
      <c r="O33" s="220">
        <f t="shared" si="19"/>
        <v>0</v>
      </c>
    </row>
    <row r="34" spans="1:15" x14ac:dyDescent="0.25">
      <c r="A34" s="197">
        <v>38</v>
      </c>
      <c r="B34" s="198"/>
      <c r="C34" s="199"/>
      <c r="D34" s="57" t="s">
        <v>124</v>
      </c>
      <c r="E34" s="92"/>
      <c r="F34" s="100"/>
      <c r="G34" s="10">
        <v>555</v>
      </c>
      <c r="H34" s="10"/>
      <c r="I34" s="10">
        <v>528</v>
      </c>
      <c r="J34" s="219"/>
      <c r="K34" s="219">
        <v>600</v>
      </c>
      <c r="L34" s="219"/>
      <c r="M34" s="220">
        <f t="shared" si="19"/>
        <v>600</v>
      </c>
      <c r="N34" s="219"/>
      <c r="O34" s="220">
        <f t="shared" si="19"/>
        <v>600</v>
      </c>
    </row>
    <row r="35" spans="1:15" x14ac:dyDescent="0.25">
      <c r="A35" s="200">
        <v>4</v>
      </c>
      <c r="B35" s="201"/>
      <c r="C35" s="202"/>
      <c r="D35" s="57" t="s">
        <v>23</v>
      </c>
      <c r="E35" s="44"/>
      <c r="F35" s="100">
        <f>+F36</f>
        <v>2000</v>
      </c>
      <c r="G35" s="10">
        <f t="shared" ref="G35:O35" si="20">+G36</f>
        <v>303</v>
      </c>
      <c r="H35" s="10"/>
      <c r="I35" s="10">
        <f t="shared" si="20"/>
        <v>0</v>
      </c>
      <c r="J35" s="219">
        <f t="shared" si="20"/>
        <v>0</v>
      </c>
      <c r="K35" s="219">
        <f t="shared" si="20"/>
        <v>0</v>
      </c>
      <c r="L35" s="219">
        <f t="shared" si="20"/>
        <v>0</v>
      </c>
      <c r="M35" s="219">
        <f t="shared" si="20"/>
        <v>0</v>
      </c>
      <c r="N35" s="219">
        <f t="shared" si="20"/>
        <v>0</v>
      </c>
      <c r="O35" s="219">
        <f t="shared" si="20"/>
        <v>0</v>
      </c>
    </row>
    <row r="36" spans="1:15" x14ac:dyDescent="0.25">
      <c r="A36" s="197">
        <v>42</v>
      </c>
      <c r="B36" s="198"/>
      <c r="C36" s="199"/>
      <c r="D36" s="57" t="s">
        <v>45</v>
      </c>
      <c r="E36" s="44"/>
      <c r="F36" s="100">
        <v>2000</v>
      </c>
      <c r="G36" s="10">
        <v>303</v>
      </c>
      <c r="H36" s="10"/>
      <c r="I36" s="10">
        <f>+H36/Naslovnica!$A$1</f>
        <v>0</v>
      </c>
      <c r="J36" s="220">
        <f>+K36*Naslovnica!A24</f>
        <v>0</v>
      </c>
      <c r="K36" s="220"/>
      <c r="L36" s="220">
        <f>+M36*Naslovnica!C24</f>
        <v>0</v>
      </c>
      <c r="M36" s="220"/>
      <c r="N36" s="220">
        <f>+O36*Naslovnica!E24</f>
        <v>0</v>
      </c>
      <c r="O36" s="220"/>
    </row>
    <row r="37" spans="1:15" s="65" customFormat="1" x14ac:dyDescent="0.25">
      <c r="A37" s="185" t="s">
        <v>63</v>
      </c>
      <c r="B37" s="186"/>
      <c r="C37" s="187"/>
      <c r="D37" s="63" t="s">
        <v>64</v>
      </c>
      <c r="E37" s="63"/>
      <c r="F37" s="98">
        <f>+F38+F43+F50</f>
        <v>181330.22999999998</v>
      </c>
      <c r="G37" s="228">
        <f t="shared" ref="G37:O37" si="21">+G38+G43+G50</f>
        <v>28310</v>
      </c>
      <c r="H37" s="228">
        <f t="shared" si="21"/>
        <v>0</v>
      </c>
      <c r="I37" s="228">
        <f t="shared" si="21"/>
        <v>48035</v>
      </c>
      <c r="J37" s="229">
        <f t="shared" si="21"/>
        <v>0</v>
      </c>
      <c r="K37" s="229">
        <f t="shared" si="21"/>
        <v>49550</v>
      </c>
      <c r="L37" s="229">
        <f t="shared" si="21"/>
        <v>0</v>
      </c>
      <c r="M37" s="229">
        <f t="shared" si="21"/>
        <v>49550</v>
      </c>
      <c r="N37" s="229">
        <f t="shared" si="21"/>
        <v>0</v>
      </c>
      <c r="O37" s="229">
        <f t="shared" si="21"/>
        <v>49550</v>
      </c>
    </row>
    <row r="38" spans="1:15" x14ac:dyDescent="0.25">
      <c r="A38" s="188">
        <v>11</v>
      </c>
      <c r="B38" s="189"/>
      <c r="C38" s="190"/>
      <c r="D38" s="64" t="s">
        <v>17</v>
      </c>
      <c r="E38" s="64"/>
      <c r="F38" s="99">
        <f>+F39</f>
        <v>112520.43</v>
      </c>
      <c r="G38" s="221">
        <f t="shared" ref="G38:O38" si="22">+G39</f>
        <v>15945</v>
      </c>
      <c r="H38" s="221">
        <f t="shared" si="22"/>
        <v>0</v>
      </c>
      <c r="I38" s="221">
        <f t="shared" si="22"/>
        <v>29860</v>
      </c>
      <c r="J38" s="218">
        <f t="shared" si="22"/>
        <v>0</v>
      </c>
      <c r="K38" s="218">
        <f t="shared" si="22"/>
        <v>34270</v>
      </c>
      <c r="L38" s="218">
        <f t="shared" si="22"/>
        <v>0</v>
      </c>
      <c r="M38" s="218">
        <f t="shared" si="22"/>
        <v>34270</v>
      </c>
      <c r="N38" s="218">
        <f t="shared" si="22"/>
        <v>0</v>
      </c>
      <c r="O38" s="218">
        <f t="shared" si="22"/>
        <v>34270</v>
      </c>
    </row>
    <row r="39" spans="1:15" x14ac:dyDescent="0.25">
      <c r="A39" s="191">
        <v>3</v>
      </c>
      <c r="B39" s="192"/>
      <c r="C39" s="193"/>
      <c r="D39" s="44" t="s">
        <v>21</v>
      </c>
      <c r="E39" s="44"/>
      <c r="F39" s="100">
        <f>SUM(F40:F42)</f>
        <v>112520.43</v>
      </c>
      <c r="G39" s="10">
        <f t="shared" ref="G39:O39" si="23">SUM(G40:G42)</f>
        <v>15945</v>
      </c>
      <c r="H39" s="10"/>
      <c r="I39" s="10">
        <f t="shared" si="23"/>
        <v>29860</v>
      </c>
      <c r="J39" s="219">
        <f t="shared" si="23"/>
        <v>0</v>
      </c>
      <c r="K39" s="219">
        <f t="shared" si="23"/>
        <v>34270</v>
      </c>
      <c r="L39" s="219">
        <f t="shared" si="23"/>
        <v>0</v>
      </c>
      <c r="M39" s="219">
        <f t="shared" si="23"/>
        <v>34270</v>
      </c>
      <c r="N39" s="219">
        <f t="shared" si="23"/>
        <v>0</v>
      </c>
      <c r="O39" s="219">
        <f t="shared" si="23"/>
        <v>34270</v>
      </c>
    </row>
    <row r="40" spans="1:15" x14ac:dyDescent="0.25">
      <c r="A40" s="194">
        <v>31</v>
      </c>
      <c r="B40" s="195"/>
      <c r="C40" s="196"/>
      <c r="D40" s="44" t="s">
        <v>22</v>
      </c>
      <c r="E40" s="44"/>
      <c r="F40" s="102">
        <v>110288.43</v>
      </c>
      <c r="G40" s="10">
        <f>12975+300+300+2141</f>
        <v>15716</v>
      </c>
      <c r="H40" s="10"/>
      <c r="I40" s="10">
        <f>23500+900+200+300+3920</f>
        <v>28820</v>
      </c>
      <c r="J40" s="220"/>
      <c r="K40" s="220">
        <f>34270-950</f>
        <v>33320</v>
      </c>
      <c r="L40" s="220">
        <f>J40</f>
        <v>0</v>
      </c>
      <c r="M40" s="220">
        <f t="shared" ref="M40:O41" si="24">K40</f>
        <v>33320</v>
      </c>
      <c r="N40" s="220">
        <f t="shared" si="24"/>
        <v>0</v>
      </c>
      <c r="O40" s="220">
        <f t="shared" si="24"/>
        <v>33320</v>
      </c>
    </row>
    <row r="41" spans="1:15" x14ac:dyDescent="0.25">
      <c r="A41" s="194">
        <v>32</v>
      </c>
      <c r="B41" s="195"/>
      <c r="C41" s="196"/>
      <c r="D41" s="44" t="s">
        <v>34</v>
      </c>
      <c r="E41" s="44"/>
      <c r="F41" s="100">
        <v>2232</v>
      </c>
      <c r="G41" s="10">
        <v>229</v>
      </c>
      <c r="H41" s="10"/>
      <c r="I41" s="10">
        <v>1040</v>
      </c>
      <c r="J41" s="220"/>
      <c r="K41" s="220">
        <v>950</v>
      </c>
      <c r="L41" s="220">
        <f>J41</f>
        <v>0</v>
      </c>
      <c r="M41" s="220">
        <f t="shared" si="24"/>
        <v>950</v>
      </c>
      <c r="N41" s="220">
        <f t="shared" si="24"/>
        <v>0</v>
      </c>
      <c r="O41" s="220">
        <f t="shared" si="24"/>
        <v>950</v>
      </c>
    </row>
    <row r="42" spans="1:15" x14ac:dyDescent="0.25">
      <c r="A42" s="194">
        <v>34</v>
      </c>
      <c r="B42" s="195"/>
      <c r="C42" s="196"/>
      <c r="D42" s="44" t="s">
        <v>56</v>
      </c>
      <c r="E42" s="44"/>
      <c r="F42" s="100">
        <v>0</v>
      </c>
      <c r="G42" s="10">
        <f>+F42/Naslovnica!$A$1</f>
        <v>0</v>
      </c>
      <c r="H42" s="10"/>
      <c r="I42" s="10">
        <f>+H42/Naslovnica!$A$1</f>
        <v>0</v>
      </c>
      <c r="J42" s="220"/>
      <c r="K42" s="220"/>
      <c r="L42" s="220">
        <f>+M42*Naslovnica!C30</f>
        <v>0</v>
      </c>
      <c r="M42" s="220"/>
      <c r="N42" s="220">
        <f>+O42*Naslovnica!E30</f>
        <v>0</v>
      </c>
      <c r="O42" s="220"/>
    </row>
    <row r="43" spans="1:15" x14ac:dyDescent="0.25">
      <c r="A43" s="188">
        <v>55</v>
      </c>
      <c r="B43" s="189"/>
      <c r="C43" s="190"/>
      <c r="D43" s="64" t="s">
        <v>62</v>
      </c>
      <c r="E43" s="64"/>
      <c r="F43" s="99">
        <f>+F44+F48</f>
        <v>68809.8</v>
      </c>
      <c r="G43" s="221">
        <f t="shared" ref="G43:O43" si="25">+G44+G48</f>
        <v>10704</v>
      </c>
      <c r="H43" s="221">
        <f t="shared" si="25"/>
        <v>0</v>
      </c>
      <c r="I43" s="221">
        <f t="shared" si="25"/>
        <v>16600</v>
      </c>
      <c r="J43" s="218">
        <f t="shared" si="25"/>
        <v>0</v>
      </c>
      <c r="K43" s="218">
        <f t="shared" si="25"/>
        <v>15280</v>
      </c>
      <c r="L43" s="218">
        <f t="shared" si="25"/>
        <v>0</v>
      </c>
      <c r="M43" s="218">
        <f t="shared" si="25"/>
        <v>15280</v>
      </c>
      <c r="N43" s="218">
        <f t="shared" si="25"/>
        <v>0</v>
      </c>
      <c r="O43" s="218">
        <f t="shared" si="25"/>
        <v>15280</v>
      </c>
    </row>
    <row r="44" spans="1:15" x14ac:dyDescent="0.25">
      <c r="A44" s="191">
        <v>3</v>
      </c>
      <c r="B44" s="192"/>
      <c r="C44" s="193"/>
      <c r="D44" s="54" t="s">
        <v>21</v>
      </c>
      <c r="E44" s="54"/>
      <c r="F44" s="100">
        <f>+F45+F46+F47</f>
        <v>66625.75</v>
      </c>
      <c r="G44" s="10">
        <f t="shared" ref="G44:O44" si="26">+G45+G46+G47</f>
        <v>10704</v>
      </c>
      <c r="H44" s="10"/>
      <c r="I44" s="10">
        <f t="shared" si="26"/>
        <v>16600</v>
      </c>
      <c r="J44" s="219">
        <f t="shared" si="26"/>
        <v>0</v>
      </c>
      <c r="K44" s="219">
        <f t="shared" si="26"/>
        <v>15280</v>
      </c>
      <c r="L44" s="219">
        <f t="shared" si="26"/>
        <v>0</v>
      </c>
      <c r="M44" s="219">
        <f t="shared" si="26"/>
        <v>15280</v>
      </c>
      <c r="N44" s="219">
        <f t="shared" si="26"/>
        <v>0</v>
      </c>
      <c r="O44" s="219">
        <f t="shared" si="26"/>
        <v>15280</v>
      </c>
    </row>
    <row r="45" spans="1:15" x14ac:dyDescent="0.25">
      <c r="A45" s="194">
        <v>31</v>
      </c>
      <c r="B45" s="195"/>
      <c r="C45" s="196"/>
      <c r="D45" s="54" t="s">
        <v>22</v>
      </c>
      <c r="E45" s="54"/>
      <c r="F45" s="102">
        <v>36549.65</v>
      </c>
      <c r="G45" s="10">
        <f>6454+1065</f>
        <v>7519</v>
      </c>
      <c r="H45" s="10"/>
      <c r="I45" s="10">
        <v>9340</v>
      </c>
      <c r="J45" s="220"/>
      <c r="K45" s="220">
        <v>9320</v>
      </c>
      <c r="L45" s="220">
        <f>J45</f>
        <v>0</v>
      </c>
      <c r="M45" s="220">
        <f t="shared" ref="M45:O46" si="27">K45</f>
        <v>9320</v>
      </c>
      <c r="N45" s="220">
        <f t="shared" si="27"/>
        <v>0</v>
      </c>
      <c r="O45" s="220">
        <f t="shared" si="27"/>
        <v>9320</v>
      </c>
    </row>
    <row r="46" spans="1:15" x14ac:dyDescent="0.25">
      <c r="A46" s="194">
        <v>32</v>
      </c>
      <c r="B46" s="195"/>
      <c r="C46" s="196"/>
      <c r="D46" s="44" t="s">
        <v>34</v>
      </c>
      <c r="E46" s="44"/>
      <c r="F46" s="100">
        <v>12314.74</v>
      </c>
      <c r="G46" s="10">
        <f>518+199+203+271+1158+215+22+234+365</f>
        <v>3185</v>
      </c>
      <c r="H46" s="10"/>
      <c r="I46" s="10">
        <f>800+290+200+500+1900+1170+800+200+600+800</f>
        <v>7260</v>
      </c>
      <c r="J46" s="220"/>
      <c r="K46" s="220">
        <f>15280-8000-1320</f>
        <v>5960</v>
      </c>
      <c r="L46" s="220">
        <f t="shared" ref="L46:L47" si="28">J46</f>
        <v>0</v>
      </c>
      <c r="M46" s="220">
        <f t="shared" si="27"/>
        <v>5960</v>
      </c>
      <c r="N46" s="220">
        <f t="shared" si="27"/>
        <v>0</v>
      </c>
      <c r="O46" s="220">
        <f t="shared" si="27"/>
        <v>5960</v>
      </c>
    </row>
    <row r="47" spans="1:15" x14ac:dyDescent="0.25">
      <c r="A47" s="194">
        <v>37</v>
      </c>
      <c r="B47" s="195"/>
      <c r="C47" s="196"/>
      <c r="D47" s="85" t="s">
        <v>60</v>
      </c>
      <c r="E47" s="85"/>
      <c r="F47" s="100">
        <v>17761.36</v>
      </c>
      <c r="G47" s="10">
        <v>0</v>
      </c>
      <c r="H47" s="10"/>
      <c r="I47" s="10">
        <v>0</v>
      </c>
      <c r="J47" s="220"/>
      <c r="K47" s="219"/>
      <c r="L47" s="220">
        <f t="shared" si="28"/>
        <v>0</v>
      </c>
      <c r="M47" s="219"/>
      <c r="N47" s="219"/>
      <c r="O47" s="219"/>
    </row>
    <row r="48" spans="1:15" x14ac:dyDescent="0.25">
      <c r="A48" s="191">
        <v>4</v>
      </c>
      <c r="B48" s="192"/>
      <c r="C48" s="193"/>
      <c r="D48" s="44" t="s">
        <v>23</v>
      </c>
      <c r="E48" s="44"/>
      <c r="F48" s="100">
        <f>+F49</f>
        <v>2184.0500000000002</v>
      </c>
      <c r="G48" s="10">
        <f t="shared" ref="G48:O48" si="29">+G49</f>
        <v>0</v>
      </c>
      <c r="H48" s="10"/>
      <c r="I48" s="10">
        <f t="shared" si="29"/>
        <v>0</v>
      </c>
      <c r="J48" s="219">
        <f t="shared" si="29"/>
        <v>0</v>
      </c>
      <c r="K48" s="219">
        <f t="shared" si="29"/>
        <v>0</v>
      </c>
      <c r="L48" s="219">
        <f t="shared" si="29"/>
        <v>0</v>
      </c>
      <c r="M48" s="219">
        <f t="shared" si="29"/>
        <v>0</v>
      </c>
      <c r="N48" s="219">
        <f t="shared" si="29"/>
        <v>0</v>
      </c>
      <c r="O48" s="219">
        <f t="shared" si="29"/>
        <v>0</v>
      </c>
    </row>
    <row r="49" spans="1:15" x14ac:dyDescent="0.25">
      <c r="A49" s="194">
        <v>42</v>
      </c>
      <c r="B49" s="195"/>
      <c r="C49" s="196"/>
      <c r="D49" s="44" t="s">
        <v>45</v>
      </c>
      <c r="E49" s="44"/>
      <c r="F49" s="100">
        <v>2184.0500000000002</v>
      </c>
      <c r="G49" s="10">
        <v>0</v>
      </c>
      <c r="H49" s="10"/>
      <c r="I49" s="10">
        <v>0</v>
      </c>
      <c r="J49" s="220"/>
      <c r="K49" s="220">
        <f>J49/Naslovnica!A1</f>
        <v>0</v>
      </c>
      <c r="L49" s="220">
        <f>J49</f>
        <v>0</v>
      </c>
      <c r="M49" s="220">
        <f t="shared" ref="M49:O49" si="30">K49</f>
        <v>0</v>
      </c>
      <c r="N49" s="220">
        <f t="shared" si="30"/>
        <v>0</v>
      </c>
      <c r="O49" s="220">
        <f t="shared" si="30"/>
        <v>0</v>
      </c>
    </row>
    <row r="50" spans="1:15" x14ac:dyDescent="0.25">
      <c r="A50" s="188">
        <v>29</v>
      </c>
      <c r="B50" s="189"/>
      <c r="C50" s="190"/>
      <c r="D50" s="74" t="s">
        <v>61</v>
      </c>
      <c r="E50" s="74"/>
      <c r="F50" s="99">
        <f>+F51+F53</f>
        <v>0</v>
      </c>
      <c r="G50" s="221">
        <f>+G51+G53</f>
        <v>1661</v>
      </c>
      <c r="H50" s="221">
        <f t="shared" ref="H50:O50" si="31">+H51+H53</f>
        <v>0</v>
      </c>
      <c r="I50" s="221">
        <f t="shared" si="31"/>
        <v>1575</v>
      </c>
      <c r="J50" s="218">
        <f t="shared" si="31"/>
        <v>0</v>
      </c>
      <c r="K50" s="218">
        <f t="shared" si="31"/>
        <v>0</v>
      </c>
      <c r="L50" s="218">
        <f t="shared" si="31"/>
        <v>0</v>
      </c>
      <c r="M50" s="218">
        <f t="shared" si="31"/>
        <v>0</v>
      </c>
      <c r="N50" s="218">
        <f t="shared" si="31"/>
        <v>0</v>
      </c>
      <c r="O50" s="218">
        <f t="shared" si="31"/>
        <v>0</v>
      </c>
    </row>
    <row r="51" spans="1:15" x14ac:dyDescent="0.25">
      <c r="A51" s="191">
        <v>3</v>
      </c>
      <c r="B51" s="192"/>
      <c r="C51" s="193"/>
      <c r="D51" s="75" t="s">
        <v>21</v>
      </c>
      <c r="E51" s="75"/>
      <c r="F51" s="100">
        <f>+F52</f>
        <v>0</v>
      </c>
      <c r="G51" s="10">
        <f t="shared" ref="G51:O51" si="32">+G52</f>
        <v>1661</v>
      </c>
      <c r="H51" s="10">
        <f t="shared" si="32"/>
        <v>0</v>
      </c>
      <c r="I51" s="10">
        <f t="shared" si="32"/>
        <v>1575</v>
      </c>
      <c r="J51" s="219">
        <f t="shared" si="32"/>
        <v>0</v>
      </c>
      <c r="K51" s="219">
        <f t="shared" si="32"/>
        <v>0</v>
      </c>
      <c r="L51" s="219">
        <f t="shared" si="32"/>
        <v>0</v>
      </c>
      <c r="M51" s="219">
        <f t="shared" si="32"/>
        <v>0</v>
      </c>
      <c r="N51" s="219">
        <f t="shared" si="32"/>
        <v>0</v>
      </c>
      <c r="O51" s="219">
        <f t="shared" si="32"/>
        <v>0</v>
      </c>
    </row>
    <row r="52" spans="1:15" x14ac:dyDescent="0.25">
      <c r="A52" s="194">
        <v>32</v>
      </c>
      <c r="B52" s="195"/>
      <c r="C52" s="196"/>
      <c r="D52" s="75" t="s">
        <v>34</v>
      </c>
      <c r="E52" s="75"/>
      <c r="F52" s="100"/>
      <c r="G52" s="10">
        <v>1661</v>
      </c>
      <c r="H52" s="10"/>
      <c r="I52" s="10">
        <f>1575</f>
        <v>1575</v>
      </c>
      <c r="J52" s="220">
        <f>+K52*Naslovnica!A39</f>
        <v>0</v>
      </c>
      <c r="K52" s="220"/>
      <c r="L52" s="220">
        <f>+M52*Naslovnica!C39</f>
        <v>0</v>
      </c>
      <c r="M52" s="220"/>
      <c r="N52" s="220">
        <f>+O52*Naslovnica!E39</f>
        <v>0</v>
      </c>
      <c r="O52" s="220"/>
    </row>
    <row r="53" spans="1:15" x14ac:dyDescent="0.25">
      <c r="A53" s="191">
        <v>4</v>
      </c>
      <c r="B53" s="192"/>
      <c r="C53" s="193"/>
      <c r="D53" s="75" t="s">
        <v>23</v>
      </c>
      <c r="E53" s="75"/>
      <c r="F53" s="100">
        <f>+F54</f>
        <v>0</v>
      </c>
      <c r="G53" s="10">
        <f t="shared" ref="G53:O53" si="33">+G54</f>
        <v>0</v>
      </c>
      <c r="H53" s="10">
        <f t="shared" si="33"/>
        <v>0</v>
      </c>
      <c r="I53" s="10">
        <f t="shared" si="33"/>
        <v>0</v>
      </c>
      <c r="J53" s="219">
        <f t="shared" si="33"/>
        <v>0</v>
      </c>
      <c r="K53" s="219">
        <f t="shared" si="33"/>
        <v>0</v>
      </c>
      <c r="L53" s="219">
        <f t="shared" si="33"/>
        <v>0</v>
      </c>
      <c r="M53" s="219">
        <f t="shared" si="33"/>
        <v>0</v>
      </c>
      <c r="N53" s="219">
        <f t="shared" si="33"/>
        <v>0</v>
      </c>
      <c r="O53" s="219">
        <f t="shared" si="33"/>
        <v>0</v>
      </c>
    </row>
    <row r="54" spans="1:15" x14ac:dyDescent="0.25">
      <c r="A54" s="194">
        <v>42</v>
      </c>
      <c r="B54" s="195"/>
      <c r="C54" s="196"/>
      <c r="D54" s="75" t="s">
        <v>45</v>
      </c>
      <c r="E54" s="75"/>
      <c r="F54" s="100">
        <v>0</v>
      </c>
      <c r="G54" s="10">
        <f>+F54/Naslovnica!$A$1</f>
        <v>0</v>
      </c>
      <c r="H54" s="10"/>
      <c r="I54" s="10">
        <f>+H54/Naslovnica!$A$1</f>
        <v>0</v>
      </c>
      <c r="J54" s="220">
        <f>+K54*Naslovnica!A41</f>
        <v>0</v>
      </c>
      <c r="K54" s="220"/>
      <c r="L54" s="220">
        <f>+M54*Naslovnica!C41</f>
        <v>0</v>
      </c>
      <c r="M54" s="220"/>
      <c r="N54" s="220">
        <f>+O54*Naslovnica!E41</f>
        <v>0</v>
      </c>
      <c r="O54" s="220"/>
    </row>
    <row r="55" spans="1:15" s="65" customFormat="1" x14ac:dyDescent="0.25">
      <c r="A55" s="185" t="s">
        <v>114</v>
      </c>
      <c r="B55" s="186"/>
      <c r="C55" s="187"/>
      <c r="D55" s="94" t="s">
        <v>115</v>
      </c>
      <c r="E55" s="94"/>
      <c r="F55" s="98">
        <f>+F56</f>
        <v>129838.66</v>
      </c>
      <c r="G55" s="228">
        <f>+G56+G60</f>
        <v>9635</v>
      </c>
      <c r="H55" s="228">
        <f t="shared" ref="H55:O55" si="34">+H56+H60</f>
        <v>0</v>
      </c>
      <c r="I55" s="228">
        <f t="shared" si="34"/>
        <v>4270</v>
      </c>
      <c r="J55" s="228">
        <f t="shared" si="34"/>
        <v>0</v>
      </c>
      <c r="K55" s="228">
        <f t="shared" si="34"/>
        <v>0</v>
      </c>
      <c r="L55" s="228">
        <f t="shared" si="34"/>
        <v>0</v>
      </c>
      <c r="M55" s="228">
        <f t="shared" si="34"/>
        <v>0</v>
      </c>
      <c r="N55" s="228">
        <f t="shared" si="34"/>
        <v>0</v>
      </c>
      <c r="O55" s="228">
        <f t="shared" si="34"/>
        <v>0</v>
      </c>
    </row>
    <row r="56" spans="1:15" x14ac:dyDescent="0.25">
      <c r="A56" s="188">
        <v>11</v>
      </c>
      <c r="B56" s="189"/>
      <c r="C56" s="190"/>
      <c r="D56" s="93" t="s">
        <v>17</v>
      </c>
      <c r="E56" s="93"/>
      <c r="F56" s="99">
        <f>+F57</f>
        <v>129838.66</v>
      </c>
      <c r="G56" s="221">
        <f t="shared" ref="G56:O56" si="35">+G57</f>
        <v>9635</v>
      </c>
      <c r="H56" s="221">
        <f t="shared" si="35"/>
        <v>0</v>
      </c>
      <c r="I56" s="221">
        <f t="shared" si="35"/>
        <v>0</v>
      </c>
      <c r="J56" s="218">
        <f t="shared" si="35"/>
        <v>0</v>
      </c>
      <c r="K56" s="218">
        <f t="shared" si="35"/>
        <v>0</v>
      </c>
      <c r="L56" s="218">
        <f t="shared" si="35"/>
        <v>0</v>
      </c>
      <c r="M56" s="218">
        <f t="shared" si="35"/>
        <v>0</v>
      </c>
      <c r="N56" s="218">
        <f t="shared" si="35"/>
        <v>0</v>
      </c>
      <c r="O56" s="218">
        <f t="shared" si="35"/>
        <v>0</v>
      </c>
    </row>
    <row r="57" spans="1:15" x14ac:dyDescent="0.25">
      <c r="A57" s="191">
        <v>3</v>
      </c>
      <c r="B57" s="192"/>
      <c r="C57" s="193"/>
      <c r="D57" s="92" t="s">
        <v>21</v>
      </c>
      <c r="E57" s="92"/>
      <c r="F57" s="100">
        <f>SUM(F58:F59)</f>
        <v>129838.66</v>
      </c>
      <c r="G57" s="10">
        <f t="shared" ref="G57:O57" si="36">SUM(G58:G59)</f>
        <v>9635</v>
      </c>
      <c r="H57" s="10">
        <f t="shared" si="36"/>
        <v>0</v>
      </c>
      <c r="I57" s="10">
        <f t="shared" si="36"/>
        <v>0</v>
      </c>
      <c r="J57" s="219">
        <f t="shared" si="36"/>
        <v>0</v>
      </c>
      <c r="K57" s="219">
        <f t="shared" si="36"/>
        <v>0</v>
      </c>
      <c r="L57" s="219">
        <f t="shared" si="36"/>
        <v>0</v>
      </c>
      <c r="M57" s="219">
        <f t="shared" si="36"/>
        <v>0</v>
      </c>
      <c r="N57" s="219">
        <f t="shared" si="36"/>
        <v>0</v>
      </c>
      <c r="O57" s="219">
        <f t="shared" si="36"/>
        <v>0</v>
      </c>
    </row>
    <row r="58" spans="1:15" x14ac:dyDescent="0.25">
      <c r="A58" s="194">
        <v>31</v>
      </c>
      <c r="B58" s="195"/>
      <c r="C58" s="196"/>
      <c r="D58" s="92" t="s">
        <v>22</v>
      </c>
      <c r="E58" s="92"/>
      <c r="F58" s="102"/>
      <c r="G58" s="10"/>
      <c r="H58" s="10"/>
      <c r="I58" s="10"/>
      <c r="J58" s="220"/>
      <c r="K58" s="220"/>
      <c r="L58" s="220"/>
      <c r="M58" s="220"/>
      <c r="N58" s="220"/>
      <c r="O58" s="220"/>
    </row>
    <row r="59" spans="1:15" x14ac:dyDescent="0.25">
      <c r="A59" s="194">
        <v>32</v>
      </c>
      <c r="B59" s="195"/>
      <c r="C59" s="196"/>
      <c r="D59" s="92" t="s">
        <v>34</v>
      </c>
      <c r="E59" s="92"/>
      <c r="F59" s="100">
        <v>129838.66</v>
      </c>
      <c r="G59" s="10">
        <v>9635</v>
      </c>
      <c r="H59" s="10"/>
      <c r="I59" s="10">
        <v>0</v>
      </c>
      <c r="J59" s="220"/>
      <c r="K59" s="220"/>
      <c r="L59" s="220"/>
      <c r="M59" s="220"/>
      <c r="N59" s="220"/>
      <c r="O59" s="220"/>
    </row>
    <row r="60" spans="1:15" x14ac:dyDescent="0.25">
      <c r="A60" s="188">
        <v>22</v>
      </c>
      <c r="B60" s="189"/>
      <c r="C60" s="190"/>
      <c r="D60" s="137"/>
      <c r="E60" s="137"/>
      <c r="F60" s="99">
        <f>+F61</f>
        <v>129838.66</v>
      </c>
      <c r="G60" s="221">
        <f t="shared" ref="G60:O60" si="37">+G61</f>
        <v>0</v>
      </c>
      <c r="H60" s="221">
        <f t="shared" si="37"/>
        <v>0</v>
      </c>
      <c r="I60" s="221">
        <f t="shared" si="37"/>
        <v>4270</v>
      </c>
      <c r="J60" s="218">
        <f t="shared" si="37"/>
        <v>0</v>
      </c>
      <c r="K60" s="218">
        <f t="shared" si="37"/>
        <v>0</v>
      </c>
      <c r="L60" s="218">
        <f t="shared" si="37"/>
        <v>0</v>
      </c>
      <c r="M60" s="218">
        <f t="shared" si="37"/>
        <v>0</v>
      </c>
      <c r="N60" s="218">
        <f t="shared" si="37"/>
        <v>0</v>
      </c>
      <c r="O60" s="218">
        <f t="shared" si="37"/>
        <v>0</v>
      </c>
    </row>
    <row r="61" spans="1:15" x14ac:dyDescent="0.25">
      <c r="A61" s="194">
        <v>32</v>
      </c>
      <c r="B61" s="195"/>
      <c r="C61" s="196"/>
      <c r="D61" s="138" t="s">
        <v>34</v>
      </c>
      <c r="E61" s="138"/>
      <c r="F61" s="100">
        <v>129838.66</v>
      </c>
      <c r="G61" s="10">
        <v>0</v>
      </c>
      <c r="H61" s="10"/>
      <c r="I61" s="10">
        <v>4270</v>
      </c>
      <c r="J61" s="220"/>
      <c r="K61" s="220"/>
      <c r="L61" s="220"/>
      <c r="M61" s="220"/>
      <c r="N61" s="220"/>
      <c r="O61" s="220"/>
    </row>
    <row r="62" spans="1:15" s="65" customFormat="1" x14ac:dyDescent="0.25">
      <c r="A62" s="185" t="s">
        <v>65</v>
      </c>
      <c r="B62" s="186"/>
      <c r="C62" s="187"/>
      <c r="D62" s="63" t="s">
        <v>66</v>
      </c>
      <c r="E62" s="63"/>
      <c r="F62" s="98">
        <f>+F63</f>
        <v>76244.48000000001</v>
      </c>
      <c r="G62" s="228">
        <f t="shared" ref="G62:O63" si="38">+G63</f>
        <v>11066</v>
      </c>
      <c r="H62" s="228">
        <f t="shared" si="38"/>
        <v>0</v>
      </c>
      <c r="I62" s="228">
        <f t="shared" si="38"/>
        <v>13630</v>
      </c>
      <c r="J62" s="229">
        <f t="shared" si="38"/>
        <v>0</v>
      </c>
      <c r="K62" s="229">
        <f t="shared" si="38"/>
        <v>13980</v>
      </c>
      <c r="L62" s="229">
        <f t="shared" si="38"/>
        <v>0</v>
      </c>
      <c r="M62" s="229">
        <f t="shared" si="38"/>
        <v>13980</v>
      </c>
      <c r="N62" s="229">
        <f t="shared" si="38"/>
        <v>0</v>
      </c>
      <c r="O62" s="229">
        <f t="shared" si="38"/>
        <v>13980</v>
      </c>
    </row>
    <row r="63" spans="1:15" x14ac:dyDescent="0.25">
      <c r="A63" s="188">
        <v>11</v>
      </c>
      <c r="B63" s="189"/>
      <c r="C63" s="190"/>
      <c r="D63" s="64" t="s">
        <v>17</v>
      </c>
      <c r="E63" s="64"/>
      <c r="F63" s="99">
        <f>+F64</f>
        <v>76244.48000000001</v>
      </c>
      <c r="G63" s="221">
        <f t="shared" si="38"/>
        <v>11066</v>
      </c>
      <c r="H63" s="221">
        <f t="shared" si="38"/>
        <v>0</v>
      </c>
      <c r="I63" s="221">
        <f>+I64</f>
        <v>13630</v>
      </c>
      <c r="J63" s="218">
        <f t="shared" si="38"/>
        <v>0</v>
      </c>
      <c r="K63" s="218">
        <f t="shared" si="38"/>
        <v>13980</v>
      </c>
      <c r="L63" s="218">
        <f t="shared" si="38"/>
        <v>0</v>
      </c>
      <c r="M63" s="218">
        <f t="shared" si="38"/>
        <v>13980</v>
      </c>
      <c r="N63" s="218">
        <f t="shared" si="38"/>
        <v>0</v>
      </c>
      <c r="O63" s="218">
        <f t="shared" si="38"/>
        <v>13980</v>
      </c>
    </row>
    <row r="64" spans="1:15" x14ac:dyDescent="0.25">
      <c r="A64" s="191">
        <v>3</v>
      </c>
      <c r="B64" s="192"/>
      <c r="C64" s="193"/>
      <c r="D64" s="44" t="s">
        <v>21</v>
      </c>
      <c r="E64" s="44"/>
      <c r="F64" s="100">
        <f>SUM(F65:F66)</f>
        <v>76244.48000000001</v>
      </c>
      <c r="G64" s="10">
        <f t="shared" ref="G64:O64" si="39">SUM(G65:G66)</f>
        <v>11066</v>
      </c>
      <c r="H64" s="10">
        <f t="shared" si="39"/>
        <v>0</v>
      </c>
      <c r="I64" s="10">
        <f t="shared" si="39"/>
        <v>13630</v>
      </c>
      <c r="J64" s="219">
        <f t="shared" si="39"/>
        <v>0</v>
      </c>
      <c r="K64" s="219">
        <f t="shared" si="39"/>
        <v>13980</v>
      </c>
      <c r="L64" s="219">
        <f t="shared" si="39"/>
        <v>0</v>
      </c>
      <c r="M64" s="219">
        <f t="shared" si="39"/>
        <v>13980</v>
      </c>
      <c r="N64" s="219">
        <f t="shared" si="39"/>
        <v>0</v>
      </c>
      <c r="O64" s="219">
        <f t="shared" si="39"/>
        <v>13980</v>
      </c>
    </row>
    <row r="65" spans="1:15" x14ac:dyDescent="0.25">
      <c r="A65" s="194">
        <v>31</v>
      </c>
      <c r="B65" s="195"/>
      <c r="C65" s="196"/>
      <c r="D65" s="44" t="s">
        <v>22</v>
      </c>
      <c r="E65" s="44"/>
      <c r="F65" s="102">
        <v>74006.880000000005</v>
      </c>
      <c r="G65" s="10">
        <f>11066</f>
        <v>11066</v>
      </c>
      <c r="H65" s="10"/>
      <c r="I65" s="10">
        <v>13630</v>
      </c>
      <c r="J65" s="220"/>
      <c r="K65" s="220">
        <v>13980</v>
      </c>
      <c r="L65" s="220">
        <f>J65</f>
        <v>0</v>
      </c>
      <c r="M65" s="220">
        <f t="shared" ref="M65:O65" si="40">K65</f>
        <v>13980</v>
      </c>
      <c r="N65" s="220">
        <f t="shared" si="40"/>
        <v>0</v>
      </c>
      <c r="O65" s="220">
        <f t="shared" si="40"/>
        <v>13980</v>
      </c>
    </row>
    <row r="66" spans="1:15" x14ac:dyDescent="0.25">
      <c r="A66" s="194">
        <v>32</v>
      </c>
      <c r="B66" s="195"/>
      <c r="C66" s="196"/>
      <c r="D66" s="44" t="s">
        <v>34</v>
      </c>
      <c r="E66" s="44"/>
      <c r="F66" s="100">
        <v>2237.6</v>
      </c>
      <c r="G66" s="10">
        <v>0</v>
      </c>
      <c r="H66" s="10"/>
      <c r="I66" s="10">
        <f>+H66/Naslovnica!$A$1</f>
        <v>0</v>
      </c>
      <c r="J66" s="220">
        <f>+K66*Naslovnica!A40</f>
        <v>0</v>
      </c>
      <c r="K66" s="220"/>
      <c r="L66" s="220">
        <f>+M66*Naslovnica!C40</f>
        <v>0</v>
      </c>
      <c r="M66" s="220"/>
      <c r="N66" s="220">
        <f>+O66*Naslovnica!E40</f>
        <v>0</v>
      </c>
      <c r="O66" s="220"/>
    </row>
    <row r="67" spans="1:15" s="65" customFormat="1" x14ac:dyDescent="0.25">
      <c r="A67" s="185" t="s">
        <v>67</v>
      </c>
      <c r="B67" s="186"/>
      <c r="C67" s="187"/>
      <c r="D67" s="63" t="s">
        <v>69</v>
      </c>
      <c r="E67" s="63"/>
      <c r="F67" s="98">
        <f>+F68+F72</f>
        <v>43349.729999999996</v>
      </c>
      <c r="G67" s="228">
        <f t="shared" ref="G67:O67" si="41">+G68+G72</f>
        <v>11835.98</v>
      </c>
      <c r="H67" s="228">
        <f t="shared" si="41"/>
        <v>0</v>
      </c>
      <c r="I67" s="228">
        <f t="shared" si="41"/>
        <v>22372</v>
      </c>
      <c r="J67" s="229">
        <f t="shared" si="41"/>
        <v>0</v>
      </c>
      <c r="K67" s="229">
        <f t="shared" si="41"/>
        <v>20490</v>
      </c>
      <c r="L67" s="229">
        <f t="shared" si="41"/>
        <v>0</v>
      </c>
      <c r="M67" s="229">
        <f t="shared" si="41"/>
        <v>20490</v>
      </c>
      <c r="N67" s="229">
        <f t="shared" si="41"/>
        <v>0</v>
      </c>
      <c r="O67" s="229">
        <f t="shared" si="41"/>
        <v>20490</v>
      </c>
    </row>
    <row r="68" spans="1:15" x14ac:dyDescent="0.25">
      <c r="A68" s="188">
        <v>11</v>
      </c>
      <c r="B68" s="189"/>
      <c r="C68" s="190"/>
      <c r="D68" s="64" t="s">
        <v>17</v>
      </c>
      <c r="E68" s="64"/>
      <c r="F68" s="99">
        <f>+F69</f>
        <v>6349.73</v>
      </c>
      <c r="G68" s="221">
        <f t="shared" ref="G68:O68" si="42">+G69</f>
        <v>6847.98</v>
      </c>
      <c r="H68" s="221">
        <f t="shared" si="42"/>
        <v>0</v>
      </c>
      <c r="I68" s="221">
        <f t="shared" si="42"/>
        <v>16700</v>
      </c>
      <c r="J68" s="218">
        <f t="shared" si="42"/>
        <v>0</v>
      </c>
      <c r="K68" s="218">
        <f t="shared" si="42"/>
        <v>10820</v>
      </c>
      <c r="L68" s="218">
        <f t="shared" si="42"/>
        <v>0</v>
      </c>
      <c r="M68" s="218">
        <f t="shared" si="42"/>
        <v>10820</v>
      </c>
      <c r="N68" s="218">
        <f t="shared" si="42"/>
        <v>0</v>
      </c>
      <c r="O68" s="218">
        <f t="shared" si="42"/>
        <v>10820</v>
      </c>
    </row>
    <row r="69" spans="1:15" x14ac:dyDescent="0.25">
      <c r="A69" s="191">
        <v>3</v>
      </c>
      <c r="B69" s="192"/>
      <c r="C69" s="193"/>
      <c r="D69" s="44" t="s">
        <v>21</v>
      </c>
      <c r="E69" s="44"/>
      <c r="F69" s="100">
        <f>+F70+F71</f>
        <v>6349.73</v>
      </c>
      <c r="G69" s="10">
        <f t="shared" ref="G69:O69" si="43">+G70+G71</f>
        <v>6847.98</v>
      </c>
      <c r="H69" s="10"/>
      <c r="I69" s="10">
        <f t="shared" si="43"/>
        <v>16700</v>
      </c>
      <c r="J69" s="219">
        <f t="shared" si="43"/>
        <v>0</v>
      </c>
      <c r="K69" s="219">
        <f t="shared" si="43"/>
        <v>10820</v>
      </c>
      <c r="L69" s="219">
        <f t="shared" si="43"/>
        <v>0</v>
      </c>
      <c r="M69" s="219">
        <f t="shared" si="43"/>
        <v>10820</v>
      </c>
      <c r="N69" s="219">
        <f t="shared" si="43"/>
        <v>0</v>
      </c>
      <c r="O69" s="219">
        <f t="shared" si="43"/>
        <v>10820</v>
      </c>
    </row>
    <row r="70" spans="1:15" x14ac:dyDescent="0.25">
      <c r="A70" s="194">
        <v>31</v>
      </c>
      <c r="B70" s="195"/>
      <c r="C70" s="196"/>
      <c r="D70" s="44" t="s">
        <v>22</v>
      </c>
      <c r="E70" s="44"/>
      <c r="F70" s="102">
        <v>6349.73</v>
      </c>
      <c r="G70" s="10">
        <f>5110+837+400.49</f>
        <v>6347.49</v>
      </c>
      <c r="H70" s="10"/>
      <c r="I70" s="10">
        <f>1980+600+400+1100+12000</f>
        <v>16080</v>
      </c>
      <c r="J70" s="220"/>
      <c r="K70" s="220">
        <f>10820-120-400</f>
        <v>10300</v>
      </c>
      <c r="L70" s="220">
        <f>J70</f>
        <v>0</v>
      </c>
      <c r="M70" s="220">
        <f t="shared" ref="M70:O70" si="44">K70</f>
        <v>10300</v>
      </c>
      <c r="N70" s="220">
        <f t="shared" si="44"/>
        <v>0</v>
      </c>
      <c r="O70" s="220">
        <f t="shared" si="44"/>
        <v>10300</v>
      </c>
    </row>
    <row r="71" spans="1:15" x14ac:dyDescent="0.25">
      <c r="A71" s="194">
        <v>32</v>
      </c>
      <c r="B71" s="195"/>
      <c r="C71" s="196"/>
      <c r="D71" s="75" t="s">
        <v>34</v>
      </c>
      <c r="E71" s="75"/>
      <c r="F71" s="100">
        <v>0</v>
      </c>
      <c r="G71" s="10">
        <v>500.49</v>
      </c>
      <c r="H71" s="10"/>
      <c r="I71" s="10">
        <v>620</v>
      </c>
      <c r="J71" s="220">
        <f>+K71*Naslovnica!A45</f>
        <v>0</v>
      </c>
      <c r="K71" s="220">
        <v>520</v>
      </c>
      <c r="L71" s="220">
        <f>+M71*Naslovnica!C45</f>
        <v>0</v>
      </c>
      <c r="M71" s="220">
        <v>520</v>
      </c>
      <c r="N71" s="220">
        <f>+O71*Naslovnica!E45</f>
        <v>0</v>
      </c>
      <c r="O71" s="220">
        <v>520</v>
      </c>
    </row>
    <row r="72" spans="1:15" x14ac:dyDescent="0.25">
      <c r="A72" s="188">
        <v>44</v>
      </c>
      <c r="B72" s="189"/>
      <c r="C72" s="190"/>
      <c r="D72" s="64" t="s">
        <v>68</v>
      </c>
      <c r="E72" s="64"/>
      <c r="F72" s="99">
        <f>+F73</f>
        <v>37000</v>
      </c>
      <c r="G72" s="221">
        <f t="shared" ref="G72:O72" si="45">+G73</f>
        <v>4988</v>
      </c>
      <c r="H72" s="221">
        <f t="shared" si="45"/>
        <v>0</v>
      </c>
      <c r="I72" s="221">
        <f t="shared" si="45"/>
        <v>5672</v>
      </c>
      <c r="J72" s="218">
        <f t="shared" si="45"/>
        <v>0</v>
      </c>
      <c r="K72" s="218">
        <f t="shared" si="45"/>
        <v>9670</v>
      </c>
      <c r="L72" s="218">
        <f t="shared" si="45"/>
        <v>0</v>
      </c>
      <c r="M72" s="218">
        <f t="shared" si="45"/>
        <v>9670</v>
      </c>
      <c r="N72" s="218">
        <f t="shared" si="45"/>
        <v>0</v>
      </c>
      <c r="O72" s="218">
        <f t="shared" si="45"/>
        <v>9670</v>
      </c>
    </row>
    <row r="73" spans="1:15" x14ac:dyDescent="0.25">
      <c r="A73" s="191">
        <v>3</v>
      </c>
      <c r="B73" s="192"/>
      <c r="C73" s="193"/>
      <c r="D73" s="44" t="s">
        <v>21</v>
      </c>
      <c r="E73" s="44"/>
      <c r="F73" s="100">
        <f>SUM(F74:F75)</f>
        <v>37000</v>
      </c>
      <c r="G73" s="10">
        <f t="shared" ref="G73:O73" si="46">SUM(G74:G75)</f>
        <v>4988</v>
      </c>
      <c r="H73" s="10"/>
      <c r="I73" s="10">
        <f t="shared" si="46"/>
        <v>5672</v>
      </c>
      <c r="J73" s="219">
        <f t="shared" si="46"/>
        <v>0</v>
      </c>
      <c r="K73" s="219">
        <f t="shared" si="46"/>
        <v>9670</v>
      </c>
      <c r="L73" s="219">
        <f t="shared" si="46"/>
        <v>0</v>
      </c>
      <c r="M73" s="219">
        <f t="shared" si="46"/>
        <v>9670</v>
      </c>
      <c r="N73" s="219">
        <f t="shared" si="46"/>
        <v>0</v>
      </c>
      <c r="O73" s="219">
        <f t="shared" si="46"/>
        <v>9670</v>
      </c>
    </row>
    <row r="74" spans="1:15" x14ac:dyDescent="0.25">
      <c r="A74" s="194">
        <v>31</v>
      </c>
      <c r="B74" s="195"/>
      <c r="C74" s="196"/>
      <c r="D74" s="44" t="s">
        <v>22</v>
      </c>
      <c r="E74" s="44"/>
      <c r="F74" s="102">
        <v>34412.980000000003</v>
      </c>
      <c r="G74" s="10">
        <f>3504+199+300+584</f>
        <v>4587</v>
      </c>
      <c r="H74" s="10"/>
      <c r="I74" s="10">
        <v>5672</v>
      </c>
      <c r="J74" s="220"/>
      <c r="K74" s="220">
        <v>9670</v>
      </c>
      <c r="L74" s="220">
        <f>J74</f>
        <v>0</v>
      </c>
      <c r="M74" s="220">
        <f t="shared" ref="M74:O75" si="47">K74</f>
        <v>9670</v>
      </c>
      <c r="N74" s="220">
        <f t="shared" si="47"/>
        <v>0</v>
      </c>
      <c r="O74" s="220">
        <f t="shared" si="47"/>
        <v>9670</v>
      </c>
    </row>
    <row r="75" spans="1:15" x14ac:dyDescent="0.25">
      <c r="A75" s="194">
        <v>32</v>
      </c>
      <c r="B75" s="195"/>
      <c r="C75" s="196"/>
      <c r="D75" s="44" t="s">
        <v>34</v>
      </c>
      <c r="E75" s="44"/>
      <c r="F75" s="100">
        <v>2587.02</v>
      </c>
      <c r="G75" s="10">
        <v>401</v>
      </c>
      <c r="H75" s="10"/>
      <c r="I75" s="10">
        <v>0</v>
      </c>
      <c r="J75" s="220"/>
      <c r="K75" s="220">
        <v>0</v>
      </c>
      <c r="L75" s="220">
        <f>J75</f>
        <v>0</v>
      </c>
      <c r="M75" s="220">
        <f t="shared" si="47"/>
        <v>0</v>
      </c>
      <c r="N75" s="220">
        <f t="shared" si="47"/>
        <v>0</v>
      </c>
      <c r="O75" s="220">
        <f t="shared" si="47"/>
        <v>0</v>
      </c>
    </row>
    <row r="76" spans="1:15" s="65" customFormat="1" x14ac:dyDescent="0.25">
      <c r="A76" s="185" t="s">
        <v>70</v>
      </c>
      <c r="B76" s="186"/>
      <c r="C76" s="187"/>
      <c r="D76" s="63" t="s">
        <v>71</v>
      </c>
      <c r="E76" s="63"/>
      <c r="F76" s="98">
        <f>+F77</f>
        <v>97843.03</v>
      </c>
      <c r="G76" s="228">
        <f t="shared" ref="G76:O78" si="48">+G77</f>
        <v>11013</v>
      </c>
      <c r="H76" s="228">
        <f t="shared" si="48"/>
        <v>0</v>
      </c>
      <c r="I76" s="228">
        <f t="shared" si="48"/>
        <v>11000</v>
      </c>
      <c r="J76" s="229">
        <f t="shared" si="48"/>
        <v>0</v>
      </c>
      <c r="K76" s="229">
        <f t="shared" si="48"/>
        <v>11000</v>
      </c>
      <c r="L76" s="229">
        <f t="shared" si="48"/>
        <v>0</v>
      </c>
      <c r="M76" s="229">
        <f t="shared" si="48"/>
        <v>11000</v>
      </c>
      <c r="N76" s="229">
        <f t="shared" si="48"/>
        <v>0</v>
      </c>
      <c r="O76" s="229">
        <f t="shared" si="48"/>
        <v>11000</v>
      </c>
    </row>
    <row r="77" spans="1:15" x14ac:dyDescent="0.25">
      <c r="A77" s="188">
        <v>55</v>
      </c>
      <c r="B77" s="189"/>
      <c r="C77" s="190"/>
      <c r="D77" s="64" t="s">
        <v>62</v>
      </c>
      <c r="E77" s="64"/>
      <c r="F77" s="99">
        <f>+F78</f>
        <v>97843.03</v>
      </c>
      <c r="G77" s="221">
        <f t="shared" si="48"/>
        <v>11013</v>
      </c>
      <c r="H77" s="221">
        <f t="shared" si="48"/>
        <v>0</v>
      </c>
      <c r="I77" s="221">
        <f t="shared" si="48"/>
        <v>11000</v>
      </c>
      <c r="J77" s="218">
        <f t="shared" si="48"/>
        <v>0</v>
      </c>
      <c r="K77" s="218">
        <f t="shared" si="48"/>
        <v>11000</v>
      </c>
      <c r="L77" s="218">
        <f t="shared" si="48"/>
        <v>0</v>
      </c>
      <c r="M77" s="218">
        <f t="shared" si="48"/>
        <v>11000</v>
      </c>
      <c r="N77" s="218">
        <f t="shared" si="48"/>
        <v>0</v>
      </c>
      <c r="O77" s="218">
        <f t="shared" si="48"/>
        <v>11000</v>
      </c>
    </row>
    <row r="78" spans="1:15" x14ac:dyDescent="0.25">
      <c r="A78" s="191">
        <v>4</v>
      </c>
      <c r="B78" s="192"/>
      <c r="C78" s="193"/>
      <c r="D78" s="44" t="s">
        <v>23</v>
      </c>
      <c r="E78" s="44"/>
      <c r="F78" s="100">
        <f>+F79</f>
        <v>97843.03</v>
      </c>
      <c r="G78" s="10">
        <f t="shared" si="48"/>
        <v>11013</v>
      </c>
      <c r="H78" s="10"/>
      <c r="I78" s="10">
        <f t="shared" si="48"/>
        <v>11000</v>
      </c>
      <c r="J78" s="219">
        <f t="shared" si="48"/>
        <v>0</v>
      </c>
      <c r="K78" s="219">
        <f t="shared" si="48"/>
        <v>11000</v>
      </c>
      <c r="L78" s="219">
        <f t="shared" si="48"/>
        <v>0</v>
      </c>
      <c r="M78" s="219">
        <f t="shared" si="48"/>
        <v>11000</v>
      </c>
      <c r="N78" s="219">
        <f t="shared" si="48"/>
        <v>0</v>
      </c>
      <c r="O78" s="219">
        <f t="shared" si="48"/>
        <v>11000</v>
      </c>
    </row>
    <row r="79" spans="1:15" x14ac:dyDescent="0.25">
      <c r="A79" s="194">
        <v>42</v>
      </c>
      <c r="B79" s="195"/>
      <c r="C79" s="196"/>
      <c r="D79" s="44" t="s">
        <v>45</v>
      </c>
      <c r="E79" s="44"/>
      <c r="F79" s="100">
        <v>97843.03</v>
      </c>
      <c r="G79" s="10">
        <v>11013</v>
      </c>
      <c r="H79" s="10"/>
      <c r="I79" s="10">
        <v>11000</v>
      </c>
      <c r="J79" s="220"/>
      <c r="K79" s="220">
        <v>11000</v>
      </c>
      <c r="L79" s="220">
        <f>J79</f>
        <v>0</v>
      </c>
      <c r="M79" s="220">
        <f t="shared" ref="M79:O79" si="49">K79</f>
        <v>11000</v>
      </c>
      <c r="N79" s="220">
        <f t="shared" si="49"/>
        <v>0</v>
      </c>
      <c r="O79" s="220">
        <f t="shared" si="49"/>
        <v>11000</v>
      </c>
    </row>
    <row r="80" spans="1:15" s="65" customFormat="1" x14ac:dyDescent="0.25">
      <c r="A80" s="185" t="s">
        <v>72</v>
      </c>
      <c r="B80" s="186"/>
      <c r="C80" s="187"/>
      <c r="D80" s="63" t="s">
        <v>73</v>
      </c>
      <c r="E80" s="63"/>
      <c r="F80" s="98">
        <f>+F81+F85</f>
        <v>10025.43</v>
      </c>
      <c r="G80" s="228">
        <f>+G81+G85+G84</f>
        <v>1409</v>
      </c>
      <c r="H80" s="228">
        <f t="shared" ref="G80:O80" si="50">+H81+H85</f>
        <v>0</v>
      </c>
      <c r="I80" s="228">
        <f t="shared" si="50"/>
        <v>1365</v>
      </c>
      <c r="J80" s="229">
        <f t="shared" si="50"/>
        <v>0</v>
      </c>
      <c r="K80" s="229">
        <f t="shared" si="50"/>
        <v>1370</v>
      </c>
      <c r="L80" s="229">
        <f t="shared" si="50"/>
        <v>0</v>
      </c>
      <c r="M80" s="229">
        <f t="shared" si="50"/>
        <v>1365</v>
      </c>
      <c r="N80" s="229">
        <f t="shared" si="50"/>
        <v>0</v>
      </c>
      <c r="O80" s="229">
        <f t="shared" si="50"/>
        <v>1365</v>
      </c>
    </row>
    <row r="81" spans="1:15" x14ac:dyDescent="0.25">
      <c r="A81" s="188">
        <v>42</v>
      </c>
      <c r="B81" s="189"/>
      <c r="C81" s="190"/>
      <c r="D81" s="64" t="s">
        <v>74</v>
      </c>
      <c r="E81" s="64"/>
      <c r="F81" s="99">
        <f>+F82</f>
        <v>625.42999999999995</v>
      </c>
      <c r="G81" s="221">
        <f t="shared" ref="G81:O84" si="51">+G82</f>
        <v>63</v>
      </c>
      <c r="H81" s="221">
        <f t="shared" si="51"/>
        <v>0</v>
      </c>
      <c r="I81" s="221">
        <f t="shared" si="51"/>
        <v>65</v>
      </c>
      <c r="J81" s="218">
        <f t="shared" si="51"/>
        <v>0</v>
      </c>
      <c r="K81" s="218">
        <f t="shared" si="51"/>
        <v>70</v>
      </c>
      <c r="L81" s="218">
        <f t="shared" si="51"/>
        <v>0</v>
      </c>
      <c r="M81" s="218">
        <f t="shared" si="51"/>
        <v>65</v>
      </c>
      <c r="N81" s="218">
        <f t="shared" si="51"/>
        <v>0</v>
      </c>
      <c r="O81" s="218">
        <f t="shared" si="51"/>
        <v>65</v>
      </c>
    </row>
    <row r="82" spans="1:15" x14ac:dyDescent="0.25">
      <c r="A82" s="191">
        <v>3</v>
      </c>
      <c r="B82" s="192"/>
      <c r="C82" s="193"/>
      <c r="D82" s="44" t="s">
        <v>21</v>
      </c>
      <c r="E82" s="44"/>
      <c r="F82" s="100">
        <f>+F83</f>
        <v>625.42999999999995</v>
      </c>
      <c r="G82" s="10">
        <f t="shared" si="51"/>
        <v>63</v>
      </c>
      <c r="H82" s="10">
        <f t="shared" si="51"/>
        <v>0</v>
      </c>
      <c r="I82" s="10">
        <f t="shared" si="51"/>
        <v>65</v>
      </c>
      <c r="J82" s="219">
        <f t="shared" si="51"/>
        <v>0</v>
      </c>
      <c r="K82" s="219">
        <f t="shared" si="51"/>
        <v>70</v>
      </c>
      <c r="L82" s="219">
        <f t="shared" si="51"/>
        <v>0</v>
      </c>
      <c r="M82" s="219">
        <f t="shared" si="51"/>
        <v>65</v>
      </c>
      <c r="N82" s="219">
        <f t="shared" si="51"/>
        <v>0</v>
      </c>
      <c r="O82" s="219">
        <f t="shared" si="51"/>
        <v>65</v>
      </c>
    </row>
    <row r="83" spans="1:15" x14ac:dyDescent="0.25">
      <c r="A83" s="194">
        <v>32</v>
      </c>
      <c r="B83" s="195"/>
      <c r="C83" s="196"/>
      <c r="D83" s="44" t="s">
        <v>34</v>
      </c>
      <c r="E83" s="44"/>
      <c r="F83" s="100">
        <v>625.42999999999995</v>
      </c>
      <c r="G83" s="10">
        <v>63</v>
      </c>
      <c r="H83" s="10"/>
      <c r="I83" s="10">
        <v>65</v>
      </c>
      <c r="J83" s="220">
        <f>+K83*Naslovnica!A56</f>
        <v>0</v>
      </c>
      <c r="K83" s="220">
        <v>70</v>
      </c>
      <c r="L83" s="220">
        <f>+M83*Naslovnica!C56</f>
        <v>0</v>
      </c>
      <c r="M83" s="220">
        <v>65</v>
      </c>
      <c r="N83" s="220">
        <f>+O83*Naslovnica!E56</f>
        <v>0</v>
      </c>
      <c r="O83" s="220">
        <v>65</v>
      </c>
    </row>
    <row r="84" spans="1:15" x14ac:dyDescent="0.25">
      <c r="A84" s="188">
        <v>22</v>
      </c>
      <c r="B84" s="189"/>
      <c r="C84" s="190"/>
      <c r="D84" s="137"/>
      <c r="E84" s="137"/>
      <c r="F84" s="99">
        <f>+F85</f>
        <v>9400</v>
      </c>
      <c r="G84" s="221">
        <v>85</v>
      </c>
      <c r="H84" s="221">
        <f t="shared" si="51"/>
        <v>0</v>
      </c>
      <c r="I84" s="221">
        <v>0</v>
      </c>
      <c r="J84" s="218">
        <f t="shared" si="51"/>
        <v>0</v>
      </c>
      <c r="K84" s="218">
        <v>0</v>
      </c>
      <c r="L84" s="218">
        <f t="shared" si="51"/>
        <v>0</v>
      </c>
      <c r="M84" s="218">
        <v>0</v>
      </c>
      <c r="N84" s="218">
        <f t="shared" si="51"/>
        <v>0</v>
      </c>
      <c r="O84" s="218">
        <v>0</v>
      </c>
    </row>
    <row r="85" spans="1:15" x14ac:dyDescent="0.25">
      <c r="A85" s="188">
        <v>44</v>
      </c>
      <c r="B85" s="189"/>
      <c r="C85" s="190"/>
      <c r="D85" s="64" t="s">
        <v>68</v>
      </c>
      <c r="E85" s="64"/>
      <c r="F85" s="99">
        <f>+F86</f>
        <v>9400</v>
      </c>
      <c r="G85" s="221">
        <f t="shared" ref="G85:O86" si="52">+G86</f>
        <v>1261</v>
      </c>
      <c r="H85" s="221">
        <f t="shared" si="52"/>
        <v>0</v>
      </c>
      <c r="I85" s="221">
        <f t="shared" si="52"/>
        <v>1300</v>
      </c>
      <c r="J85" s="218">
        <f t="shared" si="52"/>
        <v>0</v>
      </c>
      <c r="K85" s="218">
        <f t="shared" si="52"/>
        <v>1300</v>
      </c>
      <c r="L85" s="218">
        <f t="shared" si="52"/>
        <v>0</v>
      </c>
      <c r="M85" s="218">
        <f t="shared" si="52"/>
        <v>1300</v>
      </c>
      <c r="N85" s="218">
        <f t="shared" si="52"/>
        <v>0</v>
      </c>
      <c r="O85" s="218">
        <f t="shared" si="52"/>
        <v>1300</v>
      </c>
    </row>
    <row r="86" spans="1:15" x14ac:dyDescent="0.25">
      <c r="A86" s="191">
        <v>3</v>
      </c>
      <c r="B86" s="192"/>
      <c r="C86" s="193"/>
      <c r="D86" s="44" t="s">
        <v>21</v>
      </c>
      <c r="E86" s="44"/>
      <c r="F86" s="100">
        <f>+F87</f>
        <v>9400</v>
      </c>
      <c r="G86" s="10">
        <f t="shared" si="52"/>
        <v>1261</v>
      </c>
      <c r="H86" s="10"/>
      <c r="I86" s="10">
        <f t="shared" si="52"/>
        <v>1300</v>
      </c>
      <c r="J86" s="219">
        <f t="shared" si="52"/>
        <v>0</v>
      </c>
      <c r="K86" s="219">
        <f t="shared" si="52"/>
        <v>1300</v>
      </c>
      <c r="L86" s="219">
        <f t="shared" si="52"/>
        <v>0</v>
      </c>
      <c r="M86" s="219">
        <f t="shared" si="52"/>
        <v>1300</v>
      </c>
      <c r="N86" s="219">
        <f t="shared" si="52"/>
        <v>0</v>
      </c>
      <c r="O86" s="219">
        <f t="shared" si="52"/>
        <v>1300</v>
      </c>
    </row>
    <row r="87" spans="1:15" x14ac:dyDescent="0.25">
      <c r="A87" s="194">
        <v>32</v>
      </c>
      <c r="B87" s="195"/>
      <c r="C87" s="196"/>
      <c r="D87" s="44" t="s">
        <v>34</v>
      </c>
      <c r="E87" s="44"/>
      <c r="F87" s="100">
        <v>9400</v>
      </c>
      <c r="G87" s="10">
        <v>1261</v>
      </c>
      <c r="H87" s="10"/>
      <c r="I87" s="10">
        <v>1300</v>
      </c>
      <c r="J87" s="220"/>
      <c r="K87" s="220">
        <v>1300</v>
      </c>
      <c r="L87" s="220">
        <f>J87</f>
        <v>0</v>
      </c>
      <c r="M87" s="220">
        <f t="shared" ref="M87:O87" si="53">K87</f>
        <v>1300</v>
      </c>
      <c r="N87" s="220">
        <f t="shared" si="53"/>
        <v>0</v>
      </c>
      <c r="O87" s="220">
        <f t="shared" si="53"/>
        <v>1300</v>
      </c>
    </row>
    <row r="88" spans="1:15" s="65" customFormat="1" x14ac:dyDescent="0.25">
      <c r="A88" s="185" t="s">
        <v>125</v>
      </c>
      <c r="B88" s="186"/>
      <c r="C88" s="187"/>
      <c r="D88" s="94" t="s">
        <v>126</v>
      </c>
      <c r="E88" s="94"/>
      <c r="F88" s="98">
        <f>+F89</f>
        <v>0</v>
      </c>
      <c r="G88" s="228">
        <f t="shared" ref="G88:O90" si="54">+G89</f>
        <v>52457</v>
      </c>
      <c r="H88" s="228">
        <f t="shared" si="54"/>
        <v>0</v>
      </c>
      <c r="I88" s="228">
        <f t="shared" si="54"/>
        <v>57750</v>
      </c>
      <c r="J88" s="229">
        <f t="shared" si="54"/>
        <v>0</v>
      </c>
      <c r="K88" s="229">
        <f t="shared" si="54"/>
        <v>57750</v>
      </c>
      <c r="L88" s="229">
        <f t="shared" si="54"/>
        <v>0</v>
      </c>
      <c r="M88" s="229">
        <f t="shared" si="54"/>
        <v>57750</v>
      </c>
      <c r="N88" s="229">
        <f t="shared" si="54"/>
        <v>0</v>
      </c>
      <c r="O88" s="229">
        <f t="shared" si="54"/>
        <v>57750</v>
      </c>
    </row>
    <row r="89" spans="1:15" x14ac:dyDescent="0.25">
      <c r="A89" s="188">
        <v>55</v>
      </c>
      <c r="B89" s="189"/>
      <c r="C89" s="190"/>
      <c r="D89" s="93" t="s">
        <v>62</v>
      </c>
      <c r="E89" s="93"/>
      <c r="F89" s="99">
        <f>+F90</f>
        <v>0</v>
      </c>
      <c r="G89" s="221">
        <f t="shared" si="54"/>
        <v>52457</v>
      </c>
      <c r="H89" s="221">
        <f t="shared" si="54"/>
        <v>0</v>
      </c>
      <c r="I89" s="221">
        <f>+I90</f>
        <v>57750</v>
      </c>
      <c r="J89" s="218">
        <f t="shared" si="54"/>
        <v>0</v>
      </c>
      <c r="K89" s="218">
        <f t="shared" si="54"/>
        <v>57750</v>
      </c>
      <c r="L89" s="218">
        <f t="shared" si="54"/>
        <v>0</v>
      </c>
      <c r="M89" s="218">
        <f t="shared" si="54"/>
        <v>57750</v>
      </c>
      <c r="N89" s="218">
        <f t="shared" si="54"/>
        <v>0</v>
      </c>
      <c r="O89" s="218">
        <f t="shared" si="54"/>
        <v>57750</v>
      </c>
    </row>
    <row r="90" spans="1:15" x14ac:dyDescent="0.25">
      <c r="A90" s="191">
        <v>3</v>
      </c>
      <c r="B90" s="192"/>
      <c r="C90" s="193"/>
      <c r="D90" s="92" t="s">
        <v>21</v>
      </c>
      <c r="E90" s="92"/>
      <c r="F90" s="100">
        <f>+F91</f>
        <v>0</v>
      </c>
      <c r="G90" s="10">
        <f t="shared" si="54"/>
        <v>52457</v>
      </c>
      <c r="H90" s="10"/>
      <c r="I90" s="10">
        <f t="shared" si="54"/>
        <v>57750</v>
      </c>
      <c r="J90" s="219">
        <f t="shared" si="54"/>
        <v>0</v>
      </c>
      <c r="K90" s="219">
        <f t="shared" si="54"/>
        <v>57750</v>
      </c>
      <c r="L90" s="219">
        <f t="shared" si="54"/>
        <v>0</v>
      </c>
      <c r="M90" s="219">
        <f t="shared" si="54"/>
        <v>57750</v>
      </c>
      <c r="N90" s="219">
        <f t="shared" si="54"/>
        <v>0</v>
      </c>
      <c r="O90" s="219">
        <f t="shared" si="54"/>
        <v>57750</v>
      </c>
    </row>
    <row r="91" spans="1:15" x14ac:dyDescent="0.25">
      <c r="A91" s="194">
        <v>32</v>
      </c>
      <c r="B91" s="195"/>
      <c r="C91" s="196"/>
      <c r="D91" s="92" t="s">
        <v>34</v>
      </c>
      <c r="E91" s="92"/>
      <c r="F91" s="100"/>
      <c r="G91" s="10">
        <v>52457</v>
      </c>
      <c r="H91" s="10"/>
      <c r="I91" s="10">
        <v>57750</v>
      </c>
      <c r="J91" s="220"/>
      <c r="K91" s="220">
        <v>57750</v>
      </c>
      <c r="L91" s="220"/>
      <c r="M91" s="220">
        <f>K91</f>
        <v>57750</v>
      </c>
      <c r="N91" s="220"/>
      <c r="O91" s="220">
        <f>M91</f>
        <v>57750</v>
      </c>
    </row>
    <row r="92" spans="1:15" s="65" customFormat="1" x14ac:dyDescent="0.25">
      <c r="A92" s="203">
        <v>8056</v>
      </c>
      <c r="B92" s="204"/>
      <c r="C92" s="205"/>
      <c r="D92" s="62" t="s">
        <v>75</v>
      </c>
      <c r="E92" s="45"/>
      <c r="F92" s="97">
        <f>+F93</f>
        <v>58000</v>
      </c>
      <c r="G92" s="226">
        <f t="shared" ref="G92:O95" si="55">+G93</f>
        <v>7964</v>
      </c>
      <c r="H92" s="226">
        <f t="shared" si="55"/>
        <v>0</v>
      </c>
      <c r="I92" s="226">
        <f t="shared" si="55"/>
        <v>6000</v>
      </c>
      <c r="J92" s="227">
        <f t="shared" si="55"/>
        <v>0</v>
      </c>
      <c r="K92" s="227">
        <f t="shared" si="55"/>
        <v>8000</v>
      </c>
      <c r="L92" s="227">
        <f t="shared" si="55"/>
        <v>0</v>
      </c>
      <c r="M92" s="227">
        <f t="shared" si="55"/>
        <v>8000</v>
      </c>
      <c r="N92" s="227">
        <f t="shared" si="55"/>
        <v>0</v>
      </c>
      <c r="O92" s="227">
        <f t="shared" si="55"/>
        <v>8000</v>
      </c>
    </row>
    <row r="93" spans="1:15" s="65" customFormat="1" x14ac:dyDescent="0.25">
      <c r="A93" s="185" t="s">
        <v>76</v>
      </c>
      <c r="B93" s="186"/>
      <c r="C93" s="187"/>
      <c r="D93" s="63" t="s">
        <v>77</v>
      </c>
      <c r="E93" s="63"/>
      <c r="F93" s="98">
        <f>+F94</f>
        <v>58000</v>
      </c>
      <c r="G93" s="228">
        <f t="shared" si="55"/>
        <v>7964</v>
      </c>
      <c r="H93" s="228">
        <f t="shared" si="55"/>
        <v>0</v>
      </c>
      <c r="I93" s="228">
        <f t="shared" si="55"/>
        <v>6000</v>
      </c>
      <c r="J93" s="229">
        <f t="shared" si="55"/>
        <v>0</v>
      </c>
      <c r="K93" s="229">
        <f t="shared" si="55"/>
        <v>8000</v>
      </c>
      <c r="L93" s="229">
        <f t="shared" si="55"/>
        <v>0</v>
      </c>
      <c r="M93" s="229">
        <f t="shared" si="55"/>
        <v>8000</v>
      </c>
      <c r="N93" s="229">
        <f t="shared" si="55"/>
        <v>0</v>
      </c>
      <c r="O93" s="229">
        <f t="shared" si="55"/>
        <v>8000</v>
      </c>
    </row>
    <row r="94" spans="1:15" x14ac:dyDescent="0.25">
      <c r="A94" s="188">
        <v>31</v>
      </c>
      <c r="B94" s="189"/>
      <c r="C94" s="190"/>
      <c r="D94" s="64" t="s">
        <v>52</v>
      </c>
      <c r="E94" s="64"/>
      <c r="F94" s="99">
        <f>+F95</f>
        <v>58000</v>
      </c>
      <c r="G94" s="221">
        <f t="shared" si="55"/>
        <v>7964</v>
      </c>
      <c r="H94" s="221">
        <f t="shared" si="55"/>
        <v>0</v>
      </c>
      <c r="I94" s="221">
        <f t="shared" si="55"/>
        <v>6000</v>
      </c>
      <c r="J94" s="218">
        <f t="shared" si="55"/>
        <v>0</v>
      </c>
      <c r="K94" s="218">
        <f t="shared" si="55"/>
        <v>8000</v>
      </c>
      <c r="L94" s="218">
        <f t="shared" si="55"/>
        <v>0</v>
      </c>
      <c r="M94" s="218">
        <f t="shared" si="55"/>
        <v>8000</v>
      </c>
      <c r="N94" s="218">
        <f t="shared" si="55"/>
        <v>0</v>
      </c>
      <c r="O94" s="218">
        <f t="shared" si="55"/>
        <v>8000</v>
      </c>
    </row>
    <row r="95" spans="1:15" x14ac:dyDescent="0.25">
      <c r="A95" s="191">
        <v>4</v>
      </c>
      <c r="B95" s="192"/>
      <c r="C95" s="193"/>
      <c r="D95" s="32" t="s">
        <v>23</v>
      </c>
      <c r="E95" s="44"/>
      <c r="F95" s="100">
        <f>+F96</f>
        <v>58000</v>
      </c>
      <c r="G95" s="10">
        <f t="shared" si="55"/>
        <v>7964</v>
      </c>
      <c r="H95" s="10"/>
      <c r="I95" s="10">
        <f t="shared" si="55"/>
        <v>6000</v>
      </c>
      <c r="J95" s="219">
        <f t="shared" si="55"/>
        <v>0</v>
      </c>
      <c r="K95" s="219">
        <f t="shared" si="55"/>
        <v>8000</v>
      </c>
      <c r="L95" s="219">
        <f t="shared" si="55"/>
        <v>0</v>
      </c>
      <c r="M95" s="219">
        <f t="shared" si="55"/>
        <v>8000</v>
      </c>
      <c r="N95" s="219">
        <f t="shared" si="55"/>
        <v>0</v>
      </c>
      <c r="O95" s="219">
        <f t="shared" si="55"/>
        <v>8000</v>
      </c>
    </row>
    <row r="96" spans="1:15" x14ac:dyDescent="0.25">
      <c r="A96" s="194">
        <v>42</v>
      </c>
      <c r="B96" s="195"/>
      <c r="C96" s="196"/>
      <c r="D96" s="32" t="s">
        <v>45</v>
      </c>
      <c r="E96" s="44"/>
      <c r="F96" s="100">
        <v>58000</v>
      </c>
      <c r="G96" s="10">
        <v>7964</v>
      </c>
      <c r="H96" s="10"/>
      <c r="I96" s="10">
        <v>6000</v>
      </c>
      <c r="J96" s="220"/>
      <c r="K96" s="220">
        <v>8000</v>
      </c>
      <c r="L96" s="220">
        <f>J96</f>
        <v>0</v>
      </c>
      <c r="M96" s="220">
        <f t="shared" ref="M96:O96" si="56">K96</f>
        <v>8000</v>
      </c>
      <c r="N96" s="220">
        <f t="shared" si="56"/>
        <v>0</v>
      </c>
      <c r="O96" s="220">
        <f t="shared" si="56"/>
        <v>8000</v>
      </c>
    </row>
    <row r="97" spans="1:15" s="65" customFormat="1" x14ac:dyDescent="0.25">
      <c r="A97" s="203">
        <v>8057</v>
      </c>
      <c r="B97" s="204"/>
      <c r="C97" s="205"/>
      <c r="D97" s="62" t="s">
        <v>78</v>
      </c>
      <c r="E97" s="45"/>
      <c r="F97" s="97">
        <f>+F98</f>
        <v>0</v>
      </c>
      <c r="G97" s="226">
        <f t="shared" ref="G97:O100" si="57">+G98</f>
        <v>0</v>
      </c>
      <c r="H97" s="226">
        <f t="shared" si="57"/>
        <v>0</v>
      </c>
      <c r="I97" s="226">
        <f t="shared" si="57"/>
        <v>0</v>
      </c>
      <c r="J97" s="227">
        <f t="shared" si="57"/>
        <v>0</v>
      </c>
      <c r="K97" s="227">
        <f t="shared" si="57"/>
        <v>0</v>
      </c>
      <c r="L97" s="227">
        <f t="shared" si="57"/>
        <v>0</v>
      </c>
      <c r="M97" s="227">
        <f t="shared" si="57"/>
        <v>0</v>
      </c>
      <c r="N97" s="227">
        <f t="shared" si="57"/>
        <v>0</v>
      </c>
      <c r="O97" s="227">
        <f t="shared" si="57"/>
        <v>0</v>
      </c>
    </row>
    <row r="98" spans="1:15" s="65" customFormat="1" x14ac:dyDescent="0.25">
      <c r="A98" s="185" t="s">
        <v>79</v>
      </c>
      <c r="B98" s="186"/>
      <c r="C98" s="187"/>
      <c r="D98" s="63" t="s">
        <v>77</v>
      </c>
      <c r="E98" s="63"/>
      <c r="F98" s="98">
        <f>+F99</f>
        <v>0</v>
      </c>
      <c r="G98" s="228">
        <f t="shared" si="57"/>
        <v>0</v>
      </c>
      <c r="H98" s="228">
        <f t="shared" si="57"/>
        <v>0</v>
      </c>
      <c r="I98" s="228">
        <f t="shared" si="57"/>
        <v>0</v>
      </c>
      <c r="J98" s="229">
        <f t="shared" si="57"/>
        <v>0</v>
      </c>
      <c r="K98" s="229">
        <f t="shared" si="57"/>
        <v>0</v>
      </c>
      <c r="L98" s="229">
        <f t="shared" si="57"/>
        <v>0</v>
      </c>
      <c r="M98" s="229">
        <f t="shared" si="57"/>
        <v>0</v>
      </c>
      <c r="N98" s="229">
        <f t="shared" si="57"/>
        <v>0</v>
      </c>
      <c r="O98" s="229">
        <f t="shared" si="57"/>
        <v>0</v>
      </c>
    </row>
    <row r="99" spans="1:15" x14ac:dyDescent="0.25">
      <c r="A99" s="188">
        <v>25</v>
      </c>
      <c r="B99" s="189"/>
      <c r="C99" s="190"/>
      <c r="D99" s="64" t="s">
        <v>80</v>
      </c>
      <c r="E99" s="64"/>
      <c r="F99" s="99">
        <f>+F100</f>
        <v>0</v>
      </c>
      <c r="G99" s="221">
        <f t="shared" si="57"/>
        <v>0</v>
      </c>
      <c r="H99" s="221">
        <f t="shared" si="57"/>
        <v>0</v>
      </c>
      <c r="I99" s="221">
        <f t="shared" si="57"/>
        <v>0</v>
      </c>
      <c r="J99" s="218">
        <f t="shared" si="57"/>
        <v>0</v>
      </c>
      <c r="K99" s="218">
        <f t="shared" si="57"/>
        <v>0</v>
      </c>
      <c r="L99" s="218">
        <f t="shared" si="57"/>
        <v>0</v>
      </c>
      <c r="M99" s="218">
        <f t="shared" si="57"/>
        <v>0</v>
      </c>
      <c r="N99" s="218">
        <f t="shared" si="57"/>
        <v>0</v>
      </c>
      <c r="O99" s="218">
        <f t="shared" si="57"/>
        <v>0</v>
      </c>
    </row>
    <row r="100" spans="1:15" x14ac:dyDescent="0.25">
      <c r="A100" s="191">
        <v>4</v>
      </c>
      <c r="B100" s="192"/>
      <c r="C100" s="193"/>
      <c r="D100" s="44" t="s">
        <v>23</v>
      </c>
      <c r="E100" s="44"/>
      <c r="F100" s="100">
        <f>+F101</f>
        <v>0</v>
      </c>
      <c r="G100" s="10">
        <f t="shared" si="57"/>
        <v>0</v>
      </c>
      <c r="H100" s="10"/>
      <c r="I100" s="10">
        <f t="shared" si="57"/>
        <v>0</v>
      </c>
      <c r="J100" s="219">
        <f t="shared" si="57"/>
        <v>0</v>
      </c>
      <c r="K100" s="219">
        <f t="shared" si="57"/>
        <v>0</v>
      </c>
      <c r="L100" s="219">
        <f t="shared" si="57"/>
        <v>0</v>
      </c>
      <c r="M100" s="219">
        <f t="shared" si="57"/>
        <v>0</v>
      </c>
      <c r="N100" s="219">
        <f t="shared" si="57"/>
        <v>0</v>
      </c>
      <c r="O100" s="219">
        <f t="shared" si="57"/>
        <v>0</v>
      </c>
    </row>
    <row r="101" spans="1:15" x14ac:dyDescent="0.25">
      <c r="A101" s="194">
        <v>42</v>
      </c>
      <c r="B101" s="195"/>
      <c r="C101" s="196"/>
      <c r="D101" s="44" t="s">
        <v>45</v>
      </c>
      <c r="E101" s="44"/>
      <c r="F101" s="100"/>
      <c r="G101" s="10">
        <f>+F101/Naslovnica!$A$1</f>
        <v>0</v>
      </c>
      <c r="H101" s="10"/>
      <c r="I101" s="10">
        <f>+H101/Naslovnica!$A$1</f>
        <v>0</v>
      </c>
      <c r="J101" s="220">
        <f>+K101*Naslovnica!A69</f>
        <v>0</v>
      </c>
      <c r="K101" s="220"/>
      <c r="L101" s="220">
        <f>+M101*Naslovnica!C69</f>
        <v>0</v>
      </c>
      <c r="M101" s="220"/>
      <c r="N101" s="220">
        <f>+O101*Naslovnica!E69</f>
        <v>0</v>
      </c>
      <c r="O101" s="220"/>
    </row>
    <row r="102" spans="1:15" x14ac:dyDescent="0.25">
      <c r="F102" s="90"/>
      <c r="G102" s="90"/>
      <c r="H102" s="90"/>
      <c r="I102" s="90"/>
      <c r="J102" s="90"/>
      <c r="K102" s="90"/>
      <c r="L102" s="90"/>
      <c r="M102" s="90"/>
      <c r="N102" s="90"/>
      <c r="O102" s="90"/>
    </row>
    <row r="103" spans="1:15" x14ac:dyDescent="0.25">
      <c r="D103" s="67" t="s">
        <v>81</v>
      </c>
      <c r="F103" s="69">
        <f>+F38+F63+F68+F21+F56</f>
        <v>410242.80000000005</v>
      </c>
      <c r="G103" s="90">
        <f>+G38+G63+G68+G21+G56</f>
        <v>56875.979999999996</v>
      </c>
      <c r="H103" s="90">
        <f t="shared" ref="H103:O103" si="58">+H38+H63+H68+H21+H56</f>
        <v>0</v>
      </c>
      <c r="I103" s="90">
        <f t="shared" si="58"/>
        <v>80887</v>
      </c>
      <c r="J103" s="90">
        <f t="shared" si="58"/>
        <v>0</v>
      </c>
      <c r="K103" s="90">
        <f t="shared" si="58"/>
        <v>65270</v>
      </c>
      <c r="L103" s="90">
        <f t="shared" si="58"/>
        <v>0</v>
      </c>
      <c r="M103" s="90">
        <f t="shared" si="58"/>
        <v>65270</v>
      </c>
      <c r="N103" s="90">
        <f t="shared" si="58"/>
        <v>0</v>
      </c>
      <c r="O103" s="90">
        <f t="shared" si="58"/>
        <v>65270</v>
      </c>
    </row>
    <row r="104" spans="1:15" x14ac:dyDescent="0.25">
      <c r="D104" s="67" t="s">
        <v>142</v>
      </c>
      <c r="F104" s="69"/>
      <c r="G104" s="90">
        <f>G60+G84</f>
        <v>85</v>
      </c>
      <c r="H104" s="90">
        <f t="shared" ref="H104:O104" si="59">H60+H84</f>
        <v>0</v>
      </c>
      <c r="I104" s="90">
        <f t="shared" si="59"/>
        <v>4270</v>
      </c>
      <c r="J104" s="90">
        <f t="shared" si="59"/>
        <v>0</v>
      </c>
      <c r="K104" s="90">
        <f t="shared" si="59"/>
        <v>0</v>
      </c>
      <c r="L104" s="90">
        <f t="shared" si="59"/>
        <v>0</v>
      </c>
      <c r="M104" s="90">
        <f t="shared" si="59"/>
        <v>0</v>
      </c>
      <c r="N104" s="90">
        <f t="shared" si="59"/>
        <v>0</v>
      </c>
      <c r="O104" s="90">
        <f t="shared" si="59"/>
        <v>0</v>
      </c>
    </row>
    <row r="105" spans="1:15" x14ac:dyDescent="0.25">
      <c r="D105" s="67" t="s">
        <v>82</v>
      </c>
      <c r="F105" s="69">
        <f t="shared" ref="F105:O105" si="60">+F9+F94</f>
        <v>456000</v>
      </c>
      <c r="G105" s="90">
        <f t="shared" si="60"/>
        <v>61319</v>
      </c>
      <c r="H105" s="90">
        <f t="shared" si="60"/>
        <v>0</v>
      </c>
      <c r="I105" s="90">
        <f t="shared" si="60"/>
        <v>63000</v>
      </c>
      <c r="J105" s="90">
        <f t="shared" si="60"/>
        <v>0</v>
      </c>
      <c r="K105" s="90">
        <f t="shared" si="60"/>
        <v>65000</v>
      </c>
      <c r="L105" s="90">
        <f t="shared" si="60"/>
        <v>0</v>
      </c>
      <c r="M105" s="90">
        <f t="shared" si="60"/>
        <v>65000</v>
      </c>
      <c r="N105" s="90">
        <f t="shared" si="60"/>
        <v>0</v>
      </c>
      <c r="O105" s="90">
        <f t="shared" si="60"/>
        <v>65000</v>
      </c>
    </row>
    <row r="106" spans="1:15" x14ac:dyDescent="0.25">
      <c r="D106" s="67" t="s">
        <v>83</v>
      </c>
      <c r="F106" s="69">
        <f>+F81</f>
        <v>625.42999999999995</v>
      </c>
      <c r="G106" s="90">
        <f t="shared" ref="G106:O106" si="61">+G81</f>
        <v>63</v>
      </c>
      <c r="H106" s="90">
        <f t="shared" si="61"/>
        <v>0</v>
      </c>
      <c r="I106" s="90">
        <f t="shared" si="61"/>
        <v>65</v>
      </c>
      <c r="J106" s="90">
        <f t="shared" si="61"/>
        <v>0</v>
      </c>
      <c r="K106" s="90">
        <f t="shared" si="61"/>
        <v>70</v>
      </c>
      <c r="L106" s="90">
        <f t="shared" si="61"/>
        <v>0</v>
      </c>
      <c r="M106" s="90">
        <f t="shared" si="61"/>
        <v>65</v>
      </c>
      <c r="N106" s="90">
        <f t="shared" si="61"/>
        <v>0</v>
      </c>
      <c r="O106" s="90">
        <f t="shared" si="61"/>
        <v>65</v>
      </c>
    </row>
    <row r="107" spans="1:15" x14ac:dyDescent="0.25">
      <c r="D107" s="67" t="s">
        <v>84</v>
      </c>
      <c r="F107" s="69">
        <f>+F85+F72</f>
        <v>46400</v>
      </c>
      <c r="G107" s="90">
        <f t="shared" ref="G107:O107" si="62">+G85+G72</f>
        <v>6249</v>
      </c>
      <c r="H107" s="90">
        <f t="shared" si="62"/>
        <v>0</v>
      </c>
      <c r="I107" s="90">
        <f t="shared" si="62"/>
        <v>6972</v>
      </c>
      <c r="J107" s="90">
        <f t="shared" si="62"/>
        <v>0</v>
      </c>
      <c r="K107" s="90">
        <f t="shared" si="62"/>
        <v>10970</v>
      </c>
      <c r="L107" s="90">
        <f t="shared" si="62"/>
        <v>0</v>
      </c>
      <c r="M107" s="90">
        <f t="shared" si="62"/>
        <v>10970</v>
      </c>
      <c r="N107" s="90">
        <f t="shared" si="62"/>
        <v>0</v>
      </c>
      <c r="O107" s="90">
        <f t="shared" si="62"/>
        <v>10970</v>
      </c>
    </row>
    <row r="108" spans="1:15" x14ac:dyDescent="0.25">
      <c r="D108" s="67" t="s">
        <v>85</v>
      </c>
      <c r="F108" s="69">
        <f t="shared" ref="F108:O108" si="63">+F14</f>
        <v>4793502.25</v>
      </c>
      <c r="G108" s="90">
        <f t="shared" si="63"/>
        <v>757777</v>
      </c>
      <c r="H108" s="90">
        <f t="shared" si="63"/>
        <v>0</v>
      </c>
      <c r="I108" s="90">
        <f t="shared" si="63"/>
        <v>971610</v>
      </c>
      <c r="J108" s="90">
        <f t="shared" si="63"/>
        <v>0</v>
      </c>
      <c r="K108" s="90">
        <f t="shared" si="63"/>
        <v>1053160</v>
      </c>
      <c r="L108" s="90">
        <f t="shared" si="63"/>
        <v>0</v>
      </c>
      <c r="M108" s="90">
        <f t="shared" si="63"/>
        <v>1053160</v>
      </c>
      <c r="N108" s="90">
        <f t="shared" si="63"/>
        <v>0</v>
      </c>
      <c r="O108" s="90">
        <f t="shared" si="63"/>
        <v>1053160</v>
      </c>
    </row>
    <row r="109" spans="1:15" x14ac:dyDescent="0.25">
      <c r="D109" s="67" t="s">
        <v>87</v>
      </c>
      <c r="F109" s="69">
        <f t="shared" ref="F109" si="64">+F29+F43+F77</f>
        <v>224548.89</v>
      </c>
      <c r="G109" s="90">
        <f>+G29+G43+G77+G89</f>
        <v>77498</v>
      </c>
      <c r="H109" s="90">
        <f t="shared" ref="H109:O109" si="65">+H29+H43+H77+H89</f>
        <v>0</v>
      </c>
      <c r="I109" s="90">
        <f t="shared" si="65"/>
        <v>111038</v>
      </c>
      <c r="J109" s="90">
        <f t="shared" si="65"/>
        <v>700</v>
      </c>
      <c r="K109" s="90">
        <f t="shared" si="65"/>
        <v>84730</v>
      </c>
      <c r="L109" s="90">
        <f t="shared" si="65"/>
        <v>700</v>
      </c>
      <c r="M109" s="90">
        <f t="shared" si="65"/>
        <v>84730</v>
      </c>
      <c r="N109" s="90">
        <f t="shared" si="65"/>
        <v>700</v>
      </c>
      <c r="O109" s="90">
        <f t="shared" si="65"/>
        <v>84730</v>
      </c>
    </row>
    <row r="110" spans="1:15" x14ac:dyDescent="0.25">
      <c r="D110" s="67" t="s">
        <v>86</v>
      </c>
      <c r="F110" s="69">
        <f>+F99</f>
        <v>0</v>
      </c>
      <c r="G110" s="90">
        <f t="shared" ref="G110:O110" si="66">+G99</f>
        <v>0</v>
      </c>
      <c r="H110" s="90">
        <f t="shared" si="66"/>
        <v>0</v>
      </c>
      <c r="I110" s="90">
        <f t="shared" si="66"/>
        <v>0</v>
      </c>
      <c r="J110" s="90">
        <f t="shared" si="66"/>
        <v>0</v>
      </c>
      <c r="K110" s="90">
        <f t="shared" si="66"/>
        <v>0</v>
      </c>
      <c r="L110" s="90">
        <f t="shared" si="66"/>
        <v>0</v>
      </c>
      <c r="M110" s="90">
        <f t="shared" si="66"/>
        <v>0</v>
      </c>
      <c r="N110" s="90">
        <f t="shared" si="66"/>
        <v>0</v>
      </c>
      <c r="O110" s="90">
        <f t="shared" si="66"/>
        <v>0</v>
      </c>
    </row>
    <row r="111" spans="1:15" x14ac:dyDescent="0.25">
      <c r="D111" s="67" t="s">
        <v>88</v>
      </c>
      <c r="F111" s="69">
        <f>+F25+F50</f>
        <v>0</v>
      </c>
      <c r="G111" s="90">
        <f>+G25+G50</f>
        <v>1934</v>
      </c>
      <c r="H111" s="90">
        <f t="shared" ref="H111:O111" si="67">+H25</f>
        <v>0</v>
      </c>
      <c r="I111" s="90">
        <f>+I25+I50</f>
        <v>2259</v>
      </c>
      <c r="J111" s="90">
        <f t="shared" si="67"/>
        <v>0</v>
      </c>
      <c r="K111" s="90">
        <f t="shared" si="67"/>
        <v>0</v>
      </c>
      <c r="L111" s="90">
        <f t="shared" si="67"/>
        <v>0</v>
      </c>
      <c r="M111" s="90">
        <f t="shared" si="67"/>
        <v>0</v>
      </c>
      <c r="N111" s="90">
        <f t="shared" si="67"/>
        <v>0</v>
      </c>
      <c r="O111" s="90">
        <f t="shared" si="67"/>
        <v>0</v>
      </c>
    </row>
    <row r="112" spans="1:15" s="65" customFormat="1" x14ac:dyDescent="0.25">
      <c r="F112" s="103">
        <f t="shared" ref="F112:O112" si="68">SUM(F103:F111)</f>
        <v>5931319.3700000001</v>
      </c>
      <c r="G112" s="232">
        <f t="shared" si="68"/>
        <v>961800.98</v>
      </c>
      <c r="H112" s="232">
        <f t="shared" si="68"/>
        <v>0</v>
      </c>
      <c r="I112" s="232">
        <f t="shared" si="68"/>
        <v>1240101</v>
      </c>
      <c r="J112" s="232">
        <f t="shared" si="68"/>
        <v>700</v>
      </c>
      <c r="K112" s="232">
        <f t="shared" si="68"/>
        <v>1279200</v>
      </c>
      <c r="L112" s="232">
        <f t="shared" si="68"/>
        <v>700</v>
      </c>
      <c r="M112" s="232">
        <f t="shared" si="68"/>
        <v>1279195</v>
      </c>
      <c r="N112" s="232">
        <f t="shared" si="68"/>
        <v>700</v>
      </c>
      <c r="O112" s="232">
        <f t="shared" si="68"/>
        <v>1279195</v>
      </c>
    </row>
    <row r="113" spans="6:15" s="65" customFormat="1" x14ac:dyDescent="0.25">
      <c r="F113" s="103">
        <f>+F98+F93+F80+F76+F67+F62+F37+F20+F13+F8+F55</f>
        <v>5931319.3700000001</v>
      </c>
      <c r="G113" s="232">
        <f>+G98+G93+G80+G76+G67+G62+G37+G20+G13+G8+G55+G88</f>
        <v>961800.98</v>
      </c>
      <c r="H113" s="232">
        <f t="shared" ref="H113:O113" si="69">+H98+H93+H80+H76+H67+H62+H37+H20+H13+H8+H55+H88</f>
        <v>0</v>
      </c>
      <c r="I113" s="232">
        <f t="shared" si="69"/>
        <v>1240101</v>
      </c>
      <c r="J113" s="232">
        <f t="shared" si="69"/>
        <v>700</v>
      </c>
      <c r="K113" s="232">
        <f t="shared" si="69"/>
        <v>1279200</v>
      </c>
      <c r="L113" s="232">
        <f t="shared" si="69"/>
        <v>700</v>
      </c>
      <c r="M113" s="232">
        <f t="shared" si="69"/>
        <v>1279195</v>
      </c>
      <c r="N113" s="232">
        <f t="shared" si="69"/>
        <v>700</v>
      </c>
      <c r="O113" s="232">
        <f t="shared" si="69"/>
        <v>1279195</v>
      </c>
    </row>
    <row r="114" spans="6:15" s="65" customFormat="1" x14ac:dyDescent="0.25">
      <c r="F114" s="103">
        <f>+F112-F113</f>
        <v>0</v>
      </c>
      <c r="G114" s="232">
        <f t="shared" ref="G114:O114" si="70">+G112-G113</f>
        <v>0</v>
      </c>
      <c r="H114" s="232">
        <f t="shared" si="70"/>
        <v>0</v>
      </c>
      <c r="I114" s="232">
        <f t="shared" si="70"/>
        <v>0</v>
      </c>
      <c r="J114" s="232">
        <f t="shared" si="70"/>
        <v>0</v>
      </c>
      <c r="K114" s="232">
        <f t="shared" si="70"/>
        <v>0</v>
      </c>
      <c r="L114" s="232">
        <f t="shared" si="70"/>
        <v>0</v>
      </c>
      <c r="M114" s="232">
        <f t="shared" si="70"/>
        <v>0</v>
      </c>
      <c r="N114" s="232">
        <f t="shared" si="70"/>
        <v>0</v>
      </c>
      <c r="O114" s="232">
        <f t="shared" si="70"/>
        <v>0</v>
      </c>
    </row>
    <row r="115" spans="6:15" x14ac:dyDescent="0.25">
      <c r="F115" s="69"/>
      <c r="G115" s="69"/>
      <c r="H115" s="69"/>
      <c r="I115" s="69"/>
      <c r="J115" s="69"/>
      <c r="K115" s="69"/>
      <c r="L115" s="69"/>
      <c r="M115" s="69"/>
      <c r="N115" s="69"/>
      <c r="O115" s="69"/>
    </row>
    <row r="117" spans="6:15" x14ac:dyDescent="0.25">
      <c r="F117" s="69"/>
    </row>
  </sheetData>
  <mergeCells count="102">
    <mergeCell ref="A84:C84"/>
    <mergeCell ref="A60:C60"/>
    <mergeCell ref="A61:C61"/>
    <mergeCell ref="A14:C14"/>
    <mergeCell ref="A15:C15"/>
    <mergeCell ref="A16:C16"/>
    <mergeCell ref="A17:C17"/>
    <mergeCell ref="A19:C19"/>
    <mergeCell ref="A18:C18"/>
    <mergeCell ref="A20:C20"/>
    <mergeCell ref="A21:C21"/>
    <mergeCell ref="A22:C22"/>
    <mergeCell ref="A23:C23"/>
    <mergeCell ref="A25:C25"/>
    <mergeCell ref="A1:O1"/>
    <mergeCell ref="A3:O3"/>
    <mergeCell ref="A7:C7"/>
    <mergeCell ref="A8:C8"/>
    <mergeCell ref="F5:G5"/>
    <mergeCell ref="H5:I5"/>
    <mergeCell ref="J5:K5"/>
    <mergeCell ref="L5:M5"/>
    <mergeCell ref="N5:O5"/>
    <mergeCell ref="D5:D6"/>
    <mergeCell ref="A5:C6"/>
    <mergeCell ref="A9:C9"/>
    <mergeCell ref="A10:C10"/>
    <mergeCell ref="A12:C12"/>
    <mergeCell ref="A11:C11"/>
    <mergeCell ref="A13:C13"/>
    <mergeCell ref="A95:C95"/>
    <mergeCell ref="A96:C96"/>
    <mergeCell ref="A92:C92"/>
    <mergeCell ref="A93:C93"/>
    <mergeCell ref="A94:C94"/>
    <mergeCell ref="A48:C48"/>
    <mergeCell ref="A67:C67"/>
    <mergeCell ref="A68:C68"/>
    <mergeCell ref="A69:C69"/>
    <mergeCell ref="A70:C70"/>
    <mergeCell ref="A62:C62"/>
    <mergeCell ref="A63:C63"/>
    <mergeCell ref="A64:C64"/>
    <mergeCell ref="A65:C65"/>
    <mergeCell ref="A66:C66"/>
    <mergeCell ref="A50:C50"/>
    <mergeCell ref="A51:C51"/>
    <mergeCell ref="A53:C53"/>
    <mergeCell ref="A54:C54"/>
    <mergeCell ref="A77:C77"/>
    <mergeCell ref="A78:C78"/>
    <mergeCell ref="A80:C80"/>
    <mergeCell ref="A79:C79"/>
    <mergeCell ref="A72:C72"/>
    <mergeCell ref="A73:C73"/>
    <mergeCell ref="A74:C74"/>
    <mergeCell ref="A75:C75"/>
    <mergeCell ref="A97:C97"/>
    <mergeCell ref="A98:C98"/>
    <mergeCell ref="A99:C99"/>
    <mergeCell ref="A100:C100"/>
    <mergeCell ref="A101:C101"/>
    <mergeCell ref="A43:C43"/>
    <mergeCell ref="A32:C32"/>
    <mergeCell ref="A33:C33"/>
    <mergeCell ref="A37:C37"/>
    <mergeCell ref="A38:C38"/>
    <mergeCell ref="A39:C39"/>
    <mergeCell ref="A35:C35"/>
    <mergeCell ref="A34:C34"/>
    <mergeCell ref="A71:C71"/>
    <mergeCell ref="A24:C24"/>
    <mergeCell ref="A49:C49"/>
    <mergeCell ref="A36:C36"/>
    <mergeCell ref="A46:C46"/>
    <mergeCell ref="A44:C44"/>
    <mergeCell ref="A45:C45"/>
    <mergeCell ref="A47:C47"/>
    <mergeCell ref="A27:C27"/>
    <mergeCell ref="A28:C28"/>
    <mergeCell ref="A29:C29"/>
    <mergeCell ref="A30:C30"/>
    <mergeCell ref="A52:C52"/>
    <mergeCell ref="A42:C42"/>
    <mergeCell ref="A40:C40"/>
    <mergeCell ref="A41:C41"/>
    <mergeCell ref="A88:C88"/>
    <mergeCell ref="A89:C89"/>
    <mergeCell ref="A90:C90"/>
    <mergeCell ref="A91:C91"/>
    <mergeCell ref="A55:C55"/>
    <mergeCell ref="A56:C56"/>
    <mergeCell ref="A57:C57"/>
    <mergeCell ref="A58:C58"/>
    <mergeCell ref="A59:C59"/>
    <mergeCell ref="A85:C85"/>
    <mergeCell ref="A86:C86"/>
    <mergeCell ref="A83:C83"/>
    <mergeCell ref="A87:C87"/>
    <mergeCell ref="A81:C81"/>
    <mergeCell ref="A82:C82"/>
    <mergeCell ref="A76:C7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rowBreaks count="1" manualBreakCount="1">
    <brk id="66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5"/>
  <sheetViews>
    <sheetView workbookViewId="0">
      <selection activeCell="N8" sqref="N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25.28515625" hidden="1" customWidth="1"/>
    <col min="6" max="15" width="17.7109375" customWidth="1"/>
  </cols>
  <sheetData>
    <row r="1" spans="1:15" ht="42" customHeight="1" x14ac:dyDescent="0.25">
      <c r="A1" s="149" t="str">
        <f>+SAŽETAK!A1</f>
        <v>FINANCIJSKI PLAN OSNOVNE ŠKOLE ANTUNA MASLE - ORAŠAC ZA 2025. I PROJEKCIJA ZA 2026. I 2027. GODINU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5" ht="18" customHeight="1" x14ac:dyDescent="0.25">
      <c r="A2" s="5"/>
      <c r="B2" s="5"/>
      <c r="C2" s="5"/>
      <c r="D2" s="5"/>
      <c r="E2" s="28"/>
      <c r="F2" s="5"/>
      <c r="G2" s="28"/>
      <c r="H2" s="5"/>
      <c r="I2" s="28"/>
      <c r="J2" s="5"/>
      <c r="K2" s="28"/>
      <c r="L2" s="5"/>
      <c r="M2" s="28"/>
      <c r="N2" s="5"/>
      <c r="O2" s="28"/>
    </row>
    <row r="3" spans="1:15" ht="15.75" x14ac:dyDescent="0.25">
      <c r="A3" s="149" t="s">
        <v>31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66"/>
      <c r="M3" s="166"/>
      <c r="N3" s="166"/>
    </row>
    <row r="4" spans="1:15" ht="18" x14ac:dyDescent="0.25">
      <c r="A4" s="5"/>
      <c r="B4" s="5"/>
      <c r="C4" s="5"/>
      <c r="D4" s="5"/>
      <c r="E4" s="28"/>
      <c r="F4" s="5"/>
      <c r="G4" s="28"/>
      <c r="H4" s="5"/>
      <c r="I4" s="28"/>
      <c r="J4" s="5"/>
      <c r="K4" s="28"/>
      <c r="L4" s="6"/>
      <c r="M4" s="6"/>
      <c r="N4" s="6"/>
      <c r="O4" s="6"/>
    </row>
    <row r="5" spans="1:15" ht="18" customHeight="1" x14ac:dyDescent="0.25">
      <c r="A5" s="149" t="s">
        <v>27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5" ht="18" x14ac:dyDescent="0.25">
      <c r="A6" s="5"/>
      <c r="B6" s="5"/>
      <c r="C6" s="5"/>
      <c r="D6" s="5"/>
      <c r="E6" s="28"/>
      <c r="F6" s="5"/>
      <c r="G6" s="28"/>
      <c r="H6" s="5"/>
      <c r="I6" s="28"/>
      <c r="J6" s="5"/>
      <c r="K6" s="28"/>
      <c r="L6" s="6"/>
      <c r="M6" s="6"/>
      <c r="N6" s="6"/>
      <c r="O6" s="6"/>
    </row>
    <row r="7" spans="1:15" ht="30.75" customHeight="1" x14ac:dyDescent="0.25">
      <c r="A7" s="24" t="s">
        <v>13</v>
      </c>
      <c r="B7" s="23" t="s">
        <v>14</v>
      </c>
      <c r="C7" s="23" t="s">
        <v>15</v>
      </c>
      <c r="D7" s="23" t="s">
        <v>46</v>
      </c>
      <c r="E7" s="23"/>
      <c r="F7" s="179" t="s">
        <v>98</v>
      </c>
      <c r="G7" s="180"/>
      <c r="H7" s="179" t="s">
        <v>99</v>
      </c>
      <c r="I7" s="180"/>
      <c r="J7" s="179" t="s">
        <v>100</v>
      </c>
      <c r="K7" s="180"/>
      <c r="L7" s="179" t="s">
        <v>41</v>
      </c>
      <c r="M7" s="181"/>
      <c r="N7" s="179" t="s">
        <v>97</v>
      </c>
      <c r="O7" s="181"/>
    </row>
    <row r="8" spans="1:15" x14ac:dyDescent="0.25">
      <c r="A8" s="24"/>
      <c r="B8" s="23"/>
      <c r="C8" s="23"/>
      <c r="D8" s="23"/>
      <c r="E8" s="23"/>
      <c r="F8" s="23" t="s">
        <v>47</v>
      </c>
      <c r="G8" s="23" t="s">
        <v>48</v>
      </c>
      <c r="H8" s="23" t="s">
        <v>47</v>
      </c>
      <c r="I8" s="23" t="s">
        <v>48</v>
      </c>
      <c r="J8" s="23" t="s">
        <v>47</v>
      </c>
      <c r="K8" s="23" t="s">
        <v>48</v>
      </c>
      <c r="L8" s="23" t="s">
        <v>47</v>
      </c>
      <c r="M8" s="23" t="s">
        <v>48</v>
      </c>
      <c r="N8" s="23" t="s">
        <v>47</v>
      </c>
      <c r="O8" s="23" t="s">
        <v>48</v>
      </c>
    </row>
    <row r="9" spans="1:15" ht="25.5" x14ac:dyDescent="0.25">
      <c r="A9" s="13">
        <v>8</v>
      </c>
      <c r="B9" s="13"/>
      <c r="C9" s="13"/>
      <c r="D9" s="13" t="s">
        <v>28</v>
      </c>
      <c r="E9" s="55"/>
      <c r="F9" s="10"/>
      <c r="G9" s="10"/>
      <c r="H9" s="11"/>
      <c r="I9" s="11"/>
      <c r="J9" s="11"/>
      <c r="K9" s="11"/>
      <c r="L9" s="11"/>
      <c r="M9" s="11"/>
      <c r="N9" s="11"/>
      <c r="O9" s="11"/>
    </row>
    <row r="10" spans="1:15" x14ac:dyDescent="0.25">
      <c r="A10" s="13"/>
      <c r="B10" s="18">
        <v>84</v>
      </c>
      <c r="C10" s="18"/>
      <c r="D10" s="18" t="s">
        <v>35</v>
      </c>
      <c r="E10" s="57"/>
      <c r="F10" s="10"/>
      <c r="G10" s="10"/>
      <c r="H10" s="11"/>
      <c r="I10" s="11"/>
      <c r="J10" s="11"/>
      <c r="K10" s="11"/>
      <c r="L10" s="11"/>
      <c r="M10" s="11"/>
      <c r="N10" s="11"/>
      <c r="O10" s="11"/>
    </row>
    <row r="11" spans="1:15" ht="25.5" x14ac:dyDescent="0.25">
      <c r="A11" s="14"/>
      <c r="B11" s="14"/>
      <c r="C11" s="15">
        <v>81</v>
      </c>
      <c r="D11" s="19" t="s">
        <v>36</v>
      </c>
      <c r="E11" s="56"/>
      <c r="F11" s="10"/>
      <c r="G11" s="10"/>
      <c r="H11" s="11"/>
      <c r="I11" s="11"/>
      <c r="J11" s="11"/>
      <c r="K11" s="11"/>
      <c r="L11" s="11"/>
      <c r="M11" s="11"/>
      <c r="N11" s="11"/>
      <c r="O11" s="11"/>
    </row>
    <row r="12" spans="1:15" ht="25.5" x14ac:dyDescent="0.25">
      <c r="A12" s="16">
        <v>5</v>
      </c>
      <c r="B12" s="17"/>
      <c r="C12" s="17"/>
      <c r="D12" s="29" t="s">
        <v>29</v>
      </c>
      <c r="E12" s="59"/>
      <c r="F12" s="10"/>
      <c r="G12" s="10"/>
      <c r="H12" s="11"/>
      <c r="I12" s="11"/>
      <c r="J12" s="11"/>
      <c r="K12" s="11"/>
      <c r="L12" s="11"/>
      <c r="M12" s="11"/>
      <c r="N12" s="11"/>
      <c r="O12" s="11"/>
    </row>
    <row r="13" spans="1:15" ht="25.5" x14ac:dyDescent="0.25">
      <c r="A13" s="18"/>
      <c r="B13" s="18">
        <v>54</v>
      </c>
      <c r="C13" s="18"/>
      <c r="D13" s="30" t="s">
        <v>37</v>
      </c>
      <c r="E13" s="60"/>
      <c r="F13" s="10"/>
      <c r="G13" s="10"/>
      <c r="H13" s="11"/>
      <c r="I13" s="11"/>
      <c r="J13" s="11"/>
      <c r="K13" s="11"/>
      <c r="L13" s="11"/>
      <c r="M13" s="11"/>
      <c r="N13" s="12"/>
      <c r="O13" s="11"/>
    </row>
    <row r="14" spans="1:15" x14ac:dyDescent="0.25">
      <c r="A14" s="18"/>
      <c r="B14" s="18"/>
      <c r="C14" s="15">
        <v>11</v>
      </c>
      <c r="D14" s="15" t="s">
        <v>17</v>
      </c>
      <c r="E14" s="58"/>
      <c r="F14" s="10"/>
      <c r="G14" s="10"/>
      <c r="H14" s="11"/>
      <c r="I14" s="11"/>
      <c r="J14" s="11"/>
      <c r="K14" s="11"/>
      <c r="L14" s="11"/>
      <c r="M14" s="11"/>
      <c r="N14" s="12"/>
      <c r="O14" s="11"/>
    </row>
    <row r="15" spans="1:15" x14ac:dyDescent="0.25">
      <c r="A15" s="18"/>
      <c r="B15" s="18"/>
      <c r="C15" s="15">
        <v>31</v>
      </c>
      <c r="D15" s="15" t="s">
        <v>38</v>
      </c>
      <c r="E15" s="58"/>
      <c r="F15" s="10"/>
      <c r="G15" s="10"/>
      <c r="H15" s="11"/>
      <c r="I15" s="11"/>
      <c r="J15" s="11"/>
      <c r="K15" s="11"/>
      <c r="L15" s="11"/>
      <c r="M15" s="11"/>
      <c r="N15" s="12"/>
      <c r="O15" s="11"/>
    </row>
    <row r="25" spans="6:15" x14ac:dyDescent="0.25">
      <c r="F25" s="184"/>
      <c r="G25" s="184"/>
      <c r="H25" s="184"/>
      <c r="I25" s="184"/>
      <c r="J25" s="184"/>
      <c r="K25" s="184"/>
      <c r="L25" s="184"/>
      <c r="M25" s="184"/>
      <c r="N25" s="184"/>
      <c r="O25" s="184"/>
    </row>
  </sheetData>
  <mergeCells count="13">
    <mergeCell ref="A1:N1"/>
    <mergeCell ref="A3:N3"/>
    <mergeCell ref="A5:N5"/>
    <mergeCell ref="N25:O25"/>
    <mergeCell ref="L25:M25"/>
    <mergeCell ref="J25:K25"/>
    <mergeCell ref="H25:I25"/>
    <mergeCell ref="F25:G25"/>
    <mergeCell ref="F7:G7"/>
    <mergeCell ref="H7:I7"/>
    <mergeCell ref="J7:K7"/>
    <mergeCell ref="L7:M7"/>
    <mergeCell ref="N7:O7"/>
  </mergeCells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0" sqref="B10"/>
    </sheetView>
  </sheetViews>
  <sheetFormatPr defaultRowHeight="15" x14ac:dyDescent="0.25"/>
  <cols>
    <col min="1" max="6" width="25.28515625" customWidth="1"/>
  </cols>
  <sheetData>
    <row r="1" spans="1:6" ht="15.75" x14ac:dyDescent="0.25">
      <c r="A1" s="149" t="s">
        <v>101</v>
      </c>
      <c r="B1" s="149"/>
      <c r="C1" s="149"/>
      <c r="D1" s="149"/>
      <c r="E1" s="149"/>
      <c r="F1" s="149"/>
    </row>
    <row r="2" spans="1:6" ht="18" x14ac:dyDescent="0.25">
      <c r="A2" s="28"/>
      <c r="B2" s="28"/>
      <c r="C2" s="28"/>
      <c r="D2" s="28"/>
      <c r="E2" s="28"/>
      <c r="F2" s="28"/>
    </row>
    <row r="3" spans="1:6" ht="15.75" x14ac:dyDescent="0.25">
      <c r="A3" s="149" t="s">
        <v>31</v>
      </c>
      <c r="B3" s="149"/>
      <c r="C3" s="149"/>
      <c r="D3" s="149"/>
      <c r="E3" s="149"/>
      <c r="F3" s="149"/>
    </row>
    <row r="4" spans="1:6" ht="18" x14ac:dyDescent="0.25">
      <c r="A4" s="28"/>
      <c r="B4" s="28"/>
      <c r="C4" s="28"/>
      <c r="D4" s="28"/>
      <c r="E4" s="6"/>
      <c r="F4" s="6"/>
    </row>
    <row r="5" spans="1:6" ht="15.75" x14ac:dyDescent="0.25">
      <c r="A5" s="149" t="s">
        <v>109</v>
      </c>
      <c r="B5" s="149"/>
      <c r="C5" s="149"/>
      <c r="D5" s="149"/>
      <c r="E5" s="149"/>
      <c r="F5" s="149"/>
    </row>
    <row r="6" spans="1:6" ht="18" x14ac:dyDescent="0.25">
      <c r="A6" s="28"/>
      <c r="B6" s="28"/>
      <c r="C6" s="28"/>
      <c r="D6" s="28"/>
      <c r="E6" s="6"/>
      <c r="F6" s="6"/>
    </row>
    <row r="7" spans="1:6" ht="25.5" x14ac:dyDescent="0.25">
      <c r="A7" s="91" t="s">
        <v>103</v>
      </c>
      <c r="B7" s="91" t="s">
        <v>98</v>
      </c>
      <c r="C7" s="24" t="s">
        <v>99</v>
      </c>
      <c r="D7" s="24" t="s">
        <v>100</v>
      </c>
      <c r="E7" s="24" t="s">
        <v>41</v>
      </c>
      <c r="F7" s="24" t="s">
        <v>97</v>
      </c>
    </row>
    <row r="8" spans="1:6" x14ac:dyDescent="0.25">
      <c r="A8" s="13" t="s">
        <v>110</v>
      </c>
      <c r="B8" s="10"/>
      <c r="C8" s="11"/>
      <c r="D8" s="11"/>
      <c r="E8" s="11"/>
      <c r="F8" s="11"/>
    </row>
    <row r="9" spans="1:6" ht="25.5" x14ac:dyDescent="0.25">
      <c r="A9" s="13" t="s">
        <v>111</v>
      </c>
      <c r="B9" s="10"/>
      <c r="C9" s="11"/>
      <c r="D9" s="11"/>
      <c r="E9" s="11"/>
      <c r="F9" s="11"/>
    </row>
    <row r="10" spans="1:6" ht="25.5" x14ac:dyDescent="0.25">
      <c r="A10" s="19" t="s">
        <v>112</v>
      </c>
      <c r="B10" s="10"/>
      <c r="C10" s="11"/>
      <c r="D10" s="11"/>
      <c r="E10" s="11"/>
      <c r="F10" s="11"/>
    </row>
    <row r="11" spans="1:6" x14ac:dyDescent="0.25">
      <c r="A11" s="19"/>
      <c r="B11" s="10"/>
      <c r="C11" s="11"/>
      <c r="D11" s="11"/>
      <c r="E11" s="11"/>
      <c r="F11" s="11"/>
    </row>
    <row r="12" spans="1:6" x14ac:dyDescent="0.25">
      <c r="A12" s="13" t="s">
        <v>113</v>
      </c>
      <c r="B12" s="10"/>
      <c r="C12" s="11"/>
      <c r="D12" s="11"/>
      <c r="E12" s="11"/>
      <c r="F12" s="11"/>
    </row>
    <row r="13" spans="1:6" x14ac:dyDescent="0.25">
      <c r="A13" s="29" t="s">
        <v>104</v>
      </c>
      <c r="B13" s="10"/>
      <c r="C13" s="11"/>
      <c r="D13" s="11"/>
      <c r="E13" s="11"/>
      <c r="F13" s="11"/>
    </row>
    <row r="14" spans="1:6" x14ac:dyDescent="0.25">
      <c r="A14" s="15" t="s">
        <v>105</v>
      </c>
      <c r="B14" s="10"/>
      <c r="C14" s="11"/>
      <c r="D14" s="11"/>
      <c r="E14" s="11"/>
      <c r="F14" s="12"/>
    </row>
    <row r="15" spans="1:6" x14ac:dyDescent="0.25">
      <c r="A15" s="29" t="s">
        <v>107</v>
      </c>
      <c r="B15" s="10"/>
      <c r="C15" s="11"/>
      <c r="D15" s="11"/>
      <c r="E15" s="11"/>
      <c r="F15" s="12"/>
    </row>
    <row r="16" spans="1:6" x14ac:dyDescent="0.25">
      <c r="A16" s="15" t="s">
        <v>108</v>
      </c>
      <c r="B16" s="10"/>
      <c r="C16" s="11"/>
      <c r="D16" s="11"/>
      <c r="E16" s="11"/>
      <c r="F16" s="12"/>
    </row>
  </sheetData>
  <mergeCells count="3">
    <mergeCell ref="A1:F1"/>
    <mergeCell ref="A3:F3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Naslovnica</vt:lpstr>
      <vt:lpstr>SAŽETAK</vt:lpstr>
      <vt:lpstr> Račun prihoda i rashoda</vt:lpstr>
      <vt:lpstr>Prihodi i rashodi po izvorima</vt:lpstr>
      <vt:lpstr>Rashodi prema funkcijskoj kl</vt:lpstr>
      <vt:lpstr>POSEBNI DIO</vt:lpstr>
      <vt:lpstr>Račun financiranja</vt:lpstr>
      <vt:lpstr>Račun financiranja po izvorima</vt:lpstr>
      <vt:lpstr>Naslovnica!Print_Area</vt:lpstr>
      <vt:lpstr>'POSEBNI DIO'!Print_Area</vt:lpstr>
      <vt:lpstr>'POSEBNI DIO'!Print_Titles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2022-10-12T09:26:50Z</cp:lastPrinted>
  <dcterms:created xsi:type="dcterms:W3CDTF">2022-08-12T12:51:27Z</dcterms:created>
  <dcterms:modified xsi:type="dcterms:W3CDTF">2024-12-31T08:44:53Z</dcterms:modified>
</cp:coreProperties>
</file>